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429"/>
  <workbookPr/>
  <mc:AlternateContent xmlns:mc="http://schemas.openxmlformats.org/markup-compatibility/2006">
    <mc:Choice Requires="x15">
      <x15ac:absPath xmlns:x15ac="http://schemas.microsoft.com/office/spreadsheetml/2010/11/ac" url="https://clintonhealthaccessorg-my.sharepoint.com/personal/aomar_clintonhealthaccess_org/Documents/"/>
    </mc:Choice>
  </mc:AlternateContent>
  <xr:revisionPtr revIDLastSave="17" documentId="8_{BCEB72C1-CFA6-40E3-8C58-782404FE2683}" xr6:coauthVersionLast="47" xr6:coauthVersionMax="47" xr10:uidLastSave="{94668AF0-3C1B-4204-AD96-A50168834A3F}"/>
  <workbookProtection workbookAlgorithmName="SHA-512" workbookHashValue="TqorcYrmVJkRwWo14oOBL5JKzhZfmAY835/gvOQojujUUvzubCbqeBYjKZyVsMDYWP4y9HXv0uULxgieOei0KA==" workbookSaltValue="xnKBrvJUyZOPLXqiBuSgXg==" workbookSpinCount="100000" lockStructure="1"/>
  <bookViews>
    <workbookView xWindow="22932" yWindow="-60" windowWidth="23256" windowHeight="12576" tabRatio="674" activeTab="3" xr2:uid="{00000000-000D-0000-FFFF-FFFF00000000}"/>
  </bookViews>
  <sheets>
    <sheet name="Tool Background and Notes" sheetId="3" r:id="rId1"/>
    <sheet name="General Inputs" sheetId="5" r:id="rId2"/>
    <sheet name="Commodity Inputs" sheetId="6" r:id="rId3"/>
    <sheet name="Outputs" sheetId="7" r:id="rId4"/>
    <sheet name="Reference Sheet" sheetId="9" state="hidden" r:id="rId5"/>
    <sheet name="Backend Calculations" sheetId="1" state="hidden" r:id="rId6"/>
  </sheets>
  <calcPr calcId="191029"/>
  <fileRecoveryPr repairLoad="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F19" i="6" l="1"/>
  <c r="F20" i="6"/>
  <c r="F21" i="6"/>
  <c r="F24" i="6"/>
  <c r="F18" i="6"/>
  <c r="F10" i="6"/>
  <c r="F11" i="6"/>
  <c r="F12" i="6"/>
  <c r="F13" i="6"/>
  <c r="F9" i="6"/>
  <c r="E47" i="5" l="1"/>
  <c r="F47" i="5"/>
  <c r="D47" i="5"/>
  <c r="C4" i="1"/>
  <c r="D13" i="5" l="1"/>
  <c r="H32" i="6" l="1"/>
  <c r="I32" i="6" s="1"/>
  <c r="H31" i="6"/>
  <c r="I31" i="6" s="1"/>
  <c r="G20" i="9" l="1"/>
  <c r="F20" i="9"/>
  <c r="E20" i="9"/>
  <c r="D30" i="1" s="1"/>
  <c r="N20" i="9"/>
  <c r="M20" i="9"/>
  <c r="L20" i="9"/>
  <c r="D31" i="1" s="1"/>
  <c r="T9" i="9"/>
  <c r="H32" i="1" s="1"/>
  <c r="S9" i="9"/>
  <c r="G32" i="1" s="1"/>
  <c r="R9" i="9"/>
  <c r="D24" i="1" s="1"/>
  <c r="N9" i="9"/>
  <c r="M9" i="9"/>
  <c r="L9" i="9"/>
  <c r="D29" i="1" s="1"/>
  <c r="F9" i="9"/>
  <c r="G9" i="9"/>
  <c r="E9" i="9"/>
  <c r="B18" i="7"/>
  <c r="B17" i="7"/>
  <c r="C31" i="1"/>
  <c r="C30" i="1"/>
  <c r="C29" i="1"/>
  <c r="C28" i="1"/>
  <c r="F31" i="1"/>
  <c r="F23" i="1"/>
  <c r="E29" i="1"/>
  <c r="E28" i="1"/>
  <c r="E21" i="1"/>
  <c r="E20" i="1"/>
  <c r="C20" i="1"/>
  <c r="C23" i="1"/>
  <c r="C22" i="1"/>
  <c r="C21" i="1"/>
  <c r="B42" i="7"/>
  <c r="B40" i="7"/>
  <c r="D28" i="1" l="1"/>
  <c r="B41" i="7"/>
  <c r="D32" i="1"/>
  <c r="G24" i="1"/>
  <c r="D20" i="1"/>
  <c r="H24" i="1"/>
  <c r="D22" i="1"/>
  <c r="D23" i="1"/>
  <c r="D21" i="1"/>
  <c r="M17" i="9" l="1"/>
  <c r="F17" i="9"/>
  <c r="M6" i="9"/>
  <c r="F6" i="9"/>
  <c r="G6" i="9" s="1"/>
  <c r="B15" i="7"/>
  <c r="B14" i="7"/>
  <c r="B13" i="7"/>
  <c r="B11" i="7"/>
  <c r="B10" i="7"/>
  <c r="N17" i="9" l="1"/>
  <c r="G23" i="1"/>
  <c r="G31" i="1"/>
  <c r="N6" i="9"/>
  <c r="G29" i="1"/>
  <c r="G21" i="1"/>
  <c r="G17" i="9"/>
  <c r="G22" i="1"/>
  <c r="G30" i="1"/>
  <c r="G28" i="1"/>
  <c r="G20" i="1"/>
  <c r="D35" i="5"/>
  <c r="H30" i="1" l="1"/>
  <c r="H22" i="1"/>
  <c r="H29" i="1"/>
  <c r="H21" i="1"/>
  <c r="H23" i="1"/>
  <c r="H31" i="1"/>
  <c r="H28" i="1"/>
  <c r="H20" i="1"/>
  <c r="F4" i="1"/>
  <c r="E4" i="1"/>
  <c r="B6" i="1"/>
  <c r="B5" i="1"/>
  <c r="B4" i="1"/>
  <c r="I4" i="1" l="1"/>
  <c r="J4" i="1" s="1"/>
  <c r="K4" i="1" s="1"/>
  <c r="B33" i="7" l="1"/>
  <c r="B32" i="7"/>
  <c r="B31" i="7"/>
  <c r="B30" i="7"/>
  <c r="B29" i="7"/>
  <c r="B28" i="7"/>
  <c r="B27" i="7"/>
  <c r="C6" i="1" l="1"/>
  <c r="C5" i="1"/>
  <c r="F5" i="1" l="1"/>
  <c r="E5" i="1"/>
  <c r="F6" i="1"/>
  <c r="E6" i="1"/>
  <c r="D6" i="5"/>
  <c r="D40" i="5" l="1"/>
  <c r="D46" i="5"/>
  <c r="D45" i="5"/>
  <c r="D39" i="5"/>
  <c r="D44" i="5"/>
  <c r="D38" i="5"/>
  <c r="D41" i="5"/>
  <c r="M23" i="1" s="1"/>
  <c r="C43" i="7" s="1"/>
  <c r="G43" i="7" s="1"/>
  <c r="J43" i="7" s="1"/>
  <c r="B11" i="1"/>
  <c r="E6" i="5"/>
  <c r="C11" i="1"/>
  <c r="D11" i="1" s="1"/>
  <c r="G11" i="1" s="1"/>
  <c r="C16" i="7" s="1"/>
  <c r="C18" i="7" s="1"/>
  <c r="I13" i="6"/>
  <c r="H13" i="6"/>
  <c r="G13" i="6"/>
  <c r="M20" i="1" l="1"/>
  <c r="C40" i="7" s="1"/>
  <c r="G40" i="7" s="1"/>
  <c r="E46" i="5"/>
  <c r="E39" i="5"/>
  <c r="E38" i="5"/>
  <c r="E45" i="5"/>
  <c r="E44" i="5"/>
  <c r="E41" i="5"/>
  <c r="E40" i="5"/>
  <c r="F6" i="5"/>
  <c r="M22" i="1"/>
  <c r="C42" i="7" s="1"/>
  <c r="G42" i="7" s="1"/>
  <c r="C29" i="7"/>
  <c r="D29" i="7" s="1"/>
  <c r="J29" i="7" s="1"/>
  <c r="C27" i="7"/>
  <c r="C31" i="7"/>
  <c r="D31" i="7" s="1"/>
  <c r="J31" i="7" s="1"/>
  <c r="C32" i="7"/>
  <c r="D32" i="7" s="1"/>
  <c r="J32" i="7" s="1"/>
  <c r="C28" i="7"/>
  <c r="D28" i="7" s="1"/>
  <c r="J28" i="7" s="1"/>
  <c r="C30" i="7"/>
  <c r="D30" i="7" s="1"/>
  <c r="J30" i="7" s="1"/>
  <c r="N23" i="1"/>
  <c r="D43" i="7" s="1"/>
  <c r="H43" i="7" s="1"/>
  <c r="B12" i="1"/>
  <c r="F11" i="1"/>
  <c r="E11" i="1"/>
  <c r="C9" i="7" s="1"/>
  <c r="G14" i="6"/>
  <c r="C33" i="7"/>
  <c r="D33" i="7" s="1"/>
  <c r="J33" i="7" s="1"/>
  <c r="I14" i="6"/>
  <c r="H14" i="6"/>
  <c r="I5" i="1"/>
  <c r="C12" i="1"/>
  <c r="D12" i="1" s="1"/>
  <c r="G12" i="1" s="1"/>
  <c r="D16" i="7" s="1"/>
  <c r="D18" i="7" s="1"/>
  <c r="H3" i="5"/>
  <c r="F38" i="5" l="1"/>
  <c r="F40" i="5"/>
  <c r="F46" i="5"/>
  <c r="F39" i="5"/>
  <c r="F45" i="5"/>
  <c r="F44" i="5"/>
  <c r="F41" i="5"/>
  <c r="O23" i="1" s="1"/>
  <c r="E43" i="7" s="1"/>
  <c r="I43" i="7" s="1"/>
  <c r="I11" i="1"/>
  <c r="C12" i="7"/>
  <c r="N20" i="1"/>
  <c r="D40" i="7" s="1"/>
  <c r="H40" i="7" s="1"/>
  <c r="N22" i="1"/>
  <c r="D42" i="7" s="1"/>
  <c r="H42" i="7" s="1"/>
  <c r="D27" i="7"/>
  <c r="J27" i="7" s="1"/>
  <c r="J35" i="7" s="1"/>
  <c r="E31" i="7"/>
  <c r="F31" i="7" s="1"/>
  <c r="K31" i="7" s="1"/>
  <c r="E30" i="7"/>
  <c r="F30" i="7" s="1"/>
  <c r="K30" i="7" s="1"/>
  <c r="E32" i="7"/>
  <c r="F32" i="7" s="1"/>
  <c r="K32" i="7" s="1"/>
  <c r="E28" i="7"/>
  <c r="F28" i="7" s="1"/>
  <c r="K28" i="7" s="1"/>
  <c r="E29" i="7"/>
  <c r="F29" i="7" s="1"/>
  <c r="K29" i="7" s="1"/>
  <c r="E27" i="7"/>
  <c r="F27" i="7" s="1"/>
  <c r="K27" i="7" s="1"/>
  <c r="C13" i="1"/>
  <c r="D13" i="1" s="1"/>
  <c r="G13" i="1" s="1"/>
  <c r="E16" i="7" s="1"/>
  <c r="E18" i="7" s="1"/>
  <c r="B13" i="1"/>
  <c r="E33" i="7"/>
  <c r="F33" i="7" s="1"/>
  <c r="K33" i="7" s="1"/>
  <c r="F12" i="1"/>
  <c r="I12" i="1" s="1"/>
  <c r="E12" i="1"/>
  <c r="J5" i="1"/>
  <c r="I6" i="1"/>
  <c r="O21" i="1" l="1"/>
  <c r="E41" i="7" s="1"/>
  <c r="I41" i="7" s="1"/>
  <c r="O20" i="1"/>
  <c r="E40" i="7" s="1"/>
  <c r="I40" i="7" s="1"/>
  <c r="O22" i="1"/>
  <c r="E42" i="7" s="1"/>
  <c r="I42" i="7" s="1"/>
  <c r="J42" i="7" s="1"/>
  <c r="G28" i="7"/>
  <c r="H28" i="7" s="1"/>
  <c r="L28" i="7" s="1"/>
  <c r="M28" i="7" s="1"/>
  <c r="G32" i="7"/>
  <c r="H32" i="7" s="1"/>
  <c r="L32" i="7" s="1"/>
  <c r="M32" i="7" s="1"/>
  <c r="G27" i="7"/>
  <c r="H27" i="7" s="1"/>
  <c r="L27" i="7" s="1"/>
  <c r="M27" i="7" s="1"/>
  <c r="G29" i="7"/>
  <c r="H29" i="7" s="1"/>
  <c r="L29" i="7" s="1"/>
  <c r="M29" i="7" s="1"/>
  <c r="G30" i="7"/>
  <c r="H30" i="7" s="1"/>
  <c r="L30" i="7" s="1"/>
  <c r="M30" i="7" s="1"/>
  <c r="G31" i="7"/>
  <c r="H31" i="7" s="1"/>
  <c r="L31" i="7" s="1"/>
  <c r="M31" i="7" s="1"/>
  <c r="G33" i="7"/>
  <c r="H33" i="7" s="1"/>
  <c r="L33" i="7" s="1"/>
  <c r="M33" i="7" s="1"/>
  <c r="J6" i="1"/>
  <c r="K5" i="1"/>
  <c r="F13" i="1"/>
  <c r="I13" i="1" s="1"/>
  <c r="J13" i="1" s="1"/>
  <c r="E13" i="1"/>
  <c r="E9" i="7" s="1"/>
  <c r="J12" i="1"/>
  <c r="K35" i="7"/>
  <c r="D9" i="7"/>
  <c r="D12" i="7"/>
  <c r="I45" i="7" l="1"/>
  <c r="E12" i="7"/>
  <c r="E15" i="7" s="1"/>
  <c r="I15" i="7" s="1"/>
  <c r="L35" i="7"/>
  <c r="D15" i="7"/>
  <c r="H15" i="7" s="1"/>
  <c r="D14" i="7"/>
  <c r="H14" i="7" s="1"/>
  <c r="K13" i="1"/>
  <c r="K12" i="1"/>
  <c r="E10" i="7"/>
  <c r="I10" i="7" s="1"/>
  <c r="E11" i="7"/>
  <c r="I11" i="7" s="1"/>
  <c r="K6" i="1"/>
  <c r="M35" i="7"/>
  <c r="D11" i="7"/>
  <c r="H11" i="7" s="1"/>
  <c r="D10" i="7"/>
  <c r="H10" i="7" s="1"/>
  <c r="D13" i="7"/>
  <c r="H13" i="7" s="1"/>
  <c r="H18" i="7"/>
  <c r="C10" i="7"/>
  <c r="G10" i="7" s="1"/>
  <c r="N21" i="1" l="1"/>
  <c r="D41" i="7" s="1"/>
  <c r="H41" i="7" s="1"/>
  <c r="H45" i="7" s="1"/>
  <c r="I18" i="7"/>
  <c r="E13" i="7"/>
  <c r="I13" i="7" s="1"/>
  <c r="E14" i="7"/>
  <c r="I14" i="7" s="1"/>
  <c r="J10" i="7"/>
  <c r="J11" i="1"/>
  <c r="C11" i="7"/>
  <c r="G11" i="7" s="1"/>
  <c r="J11" i="7" s="1"/>
  <c r="H20" i="7"/>
  <c r="I20" i="7" l="1"/>
  <c r="C15" i="7"/>
  <c r="G15" i="7" s="1"/>
  <c r="J15" i="7" s="1"/>
  <c r="C14" i="7"/>
  <c r="G14" i="7" s="1"/>
  <c r="J14" i="7" s="1"/>
  <c r="K11" i="1"/>
  <c r="C13" i="7"/>
  <c r="G13" i="7" s="1"/>
  <c r="J13" i="7" s="1"/>
  <c r="M21" i="1" l="1"/>
  <c r="C41" i="7" s="1"/>
  <c r="G41" i="7" s="1"/>
  <c r="G18" i="7"/>
  <c r="J18" i="7" s="1"/>
  <c r="J20" i="7" s="1"/>
  <c r="G45" i="7" l="1"/>
  <c r="J41" i="7"/>
  <c r="G20" i="7"/>
  <c r="J40" i="7"/>
  <c r="J45" i="7"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tc={77210284-F655-4851-A3A6-6B15C5CE79CF}</author>
  </authors>
  <commentList>
    <comment ref="I3" authorId="0" shapeId="0" xr:uid="{77210284-F655-4851-A3A6-6B15C5CE79CF}">
      <text>
        <t>[Threaded comment]
Your version of Excel allows you to read this threaded comment; however, any edits to it will get removed if the file is opened in a newer version of Excel. Learn more: https://go.microsoft.com/fwlink/?linkid=870924
Comment:
    Recommend updating this to “ 7 days of L-Amb + 5FC, followed by 7 days of Fluc”</t>
      </text>
    </comment>
  </commentList>
</comments>
</file>

<file path=xl/sharedStrings.xml><?xml version="1.0" encoding="utf-8"?>
<sst xmlns="http://schemas.openxmlformats.org/spreadsheetml/2006/main" count="451" uniqueCount="251">
  <si>
    <t>Editable Cell</t>
  </si>
  <si>
    <t>Calculation</t>
  </si>
  <si>
    <t>CrAg Positive Patients</t>
  </si>
  <si>
    <t>Days of treatment</t>
  </si>
  <si>
    <t>Tablet strength (mg)</t>
  </si>
  <si>
    <t>Existing Patients</t>
  </si>
  <si>
    <t>5FC</t>
  </si>
  <si>
    <t>Advanced HIV Disease Commodity Calculator</t>
  </si>
  <si>
    <t>Buffer Stock (months)</t>
  </si>
  <si>
    <t>Acronyms</t>
  </si>
  <si>
    <t>Average patient weight (kg)</t>
  </si>
  <si>
    <t>% Existing patients on ART with unsuppressed viral load (VL)</t>
  </si>
  <si>
    <t>CrAg positivity rate (among patients with CD4 ≤ 200 cells/µL)</t>
  </si>
  <si>
    <t>Of existing patients with unsuppressed VL, % that have CD4 ≤ 200 cells/µL</t>
  </si>
  <si>
    <r>
      <rPr>
        <u/>
        <sz val="11"/>
        <color theme="1"/>
        <rFont val="Calibri"/>
        <family val="2"/>
        <scheme val="minor"/>
      </rPr>
      <t>5FC</t>
    </r>
    <r>
      <rPr>
        <sz val="11"/>
        <color theme="1"/>
        <rFont val="Calibri"/>
        <family val="2"/>
        <scheme val="minor"/>
      </rPr>
      <t>: flucytosine</t>
    </r>
  </si>
  <si>
    <r>
      <rPr>
        <u/>
        <sz val="11"/>
        <color theme="1"/>
        <rFont val="Calibri"/>
        <family val="2"/>
        <scheme val="minor"/>
      </rPr>
      <t>TB LAM</t>
    </r>
    <r>
      <rPr>
        <sz val="11"/>
        <color theme="1"/>
        <rFont val="Calibri"/>
        <family val="2"/>
        <scheme val="minor"/>
      </rPr>
      <t>: Tuberculosis lipoarabinomannan</t>
    </r>
  </si>
  <si>
    <r>
      <rPr>
        <u/>
        <sz val="11"/>
        <color theme="1"/>
        <rFont val="Calibri"/>
        <family val="2"/>
        <scheme val="minor"/>
      </rPr>
      <t>CrAg</t>
    </r>
    <r>
      <rPr>
        <sz val="11"/>
        <color theme="1"/>
        <rFont val="Calibri"/>
        <family val="2"/>
        <scheme val="minor"/>
      </rPr>
      <t>: Cryptococcal antigen</t>
    </r>
  </si>
  <si>
    <r>
      <rPr>
        <u/>
        <sz val="11"/>
        <color theme="1"/>
        <rFont val="Calibri"/>
        <family val="2"/>
        <scheme val="minor"/>
      </rPr>
      <t>LFA</t>
    </r>
    <r>
      <rPr>
        <sz val="11"/>
        <color theme="1"/>
        <rFont val="Calibri"/>
        <family val="2"/>
        <scheme val="minor"/>
      </rPr>
      <t>: lateral flow assay</t>
    </r>
  </si>
  <si>
    <r>
      <rPr>
        <u/>
        <sz val="11"/>
        <color theme="1"/>
        <rFont val="Calibri"/>
        <family val="2"/>
        <scheme val="minor"/>
      </rPr>
      <t>CM</t>
    </r>
    <r>
      <rPr>
        <sz val="11"/>
        <color theme="1"/>
        <rFont val="Calibri"/>
        <family val="2"/>
        <scheme val="minor"/>
      </rPr>
      <t>: Cryptococcal meningitis</t>
    </r>
  </si>
  <si>
    <t>Advanced HIV Disease (AHD) Commodity Calculator Overview</t>
  </si>
  <si>
    <t>Total Cost</t>
  </si>
  <si>
    <t>Assumptions and Notes</t>
  </si>
  <si>
    <t>Other Assumptions, Notes, and Acronyms</t>
  </si>
  <si>
    <t>Tabs/pack</t>
  </si>
  <si>
    <t>There are a number of primary assumptions, which users will input in the "Assumptions" box. Context for baseline assumptions are provided below.</t>
  </si>
  <si>
    <t>Use country-specific data when possible. Below assumptions provided for context or for use when county data points not available.</t>
  </si>
  <si>
    <t>2017 WHO AHD guidelines estimate 30-40% of new initiates in LMICs start ART with AHD.</t>
  </si>
  <si>
    <t>Use country-specific program data. UNAIDS AIDSInfo Database also tracks this indicator.</t>
  </si>
  <si>
    <t>Use country-specific program data.</t>
  </si>
  <si>
    <t>Pooled CrAg positivity rate in REMSTART trial.</t>
  </si>
  <si>
    <t>Median weight in ACTA trial.</t>
  </si>
  <si>
    <t>Clinical Infectious Disease study showing 50% of CrAg positive individuals were symptomatic for Cryptococcal Meningitis.</t>
  </si>
  <si>
    <t>The need for CD4 tests is calculated individually and at the national level as there are a number of different CD4 products that may be used in a given country at the same time.</t>
  </si>
  <si>
    <t>Fluconazole - Induction</t>
  </si>
  <si>
    <t>% New (or re-initiating) patients presenting to care with CD4 ≤ 200 cells/µL</t>
  </si>
  <si>
    <t>Of patients who are CrAg positive, % who are CSF CrAg positive</t>
  </si>
  <si>
    <t>CrAg Positive, 
CSF CrAg Negative</t>
  </si>
  <si>
    <t>CrAg Positive, 
CSF CrAg Positive</t>
  </si>
  <si>
    <t>Pre-Emptive Fluconazole (CSF CrAg Negative)</t>
  </si>
  <si>
    <t>Sample Input Assumptions</t>
  </si>
  <si>
    <t>Sample Assumptions</t>
  </si>
  <si>
    <t>Liposomal AmB</t>
  </si>
  <si>
    <r>
      <t xml:space="preserve">New or Re-Initiating Patients with CD4 </t>
    </r>
    <r>
      <rPr>
        <b/>
        <sz val="11"/>
        <color theme="0"/>
        <rFont val="Calibri"/>
        <family val="2"/>
      </rPr>
      <t>≤ 200</t>
    </r>
    <r>
      <rPr>
        <b/>
        <sz val="11"/>
        <color theme="0"/>
        <rFont val="Calibri"/>
        <family val="2"/>
        <scheme val="minor"/>
      </rPr>
      <t xml:space="preserve"> cells/</t>
    </r>
    <r>
      <rPr>
        <b/>
        <sz val="11"/>
        <color theme="0"/>
        <rFont val="Calibri"/>
        <family val="2"/>
      </rPr>
      <t>µ</t>
    </r>
    <r>
      <rPr>
        <b/>
        <sz val="9.35"/>
        <color theme="0"/>
        <rFont val="Calibri"/>
        <family val="2"/>
      </rPr>
      <t>L</t>
    </r>
  </si>
  <si>
    <t>Unsuppressed patients with CD4 ≤ 200</t>
  </si>
  <si>
    <t xml:space="preserve">Please note that there are additional ancillary commodities not included in this tool that are needed for the care of patients with cryptococcal meningitis being treated with 5FC and L-AmB. These include, but are not limited to: magnesium and potassium oral </t>
  </si>
  <si>
    <t>supplementation, intravenous potassium, etc. There will also be the need for reagents for full blood counts (FBC) and renal function including electrolyte monitoring. Please consider these when quantifying for the full set of commodities needed to provide</t>
  </si>
  <si>
    <t>quality care to patients presenting with AHD.</t>
  </si>
  <si>
    <t>Forecast through</t>
  </si>
  <si>
    <t>New or Re-Initiating Patients</t>
  </si>
  <si>
    <t>Number of patients currently on ART</t>
  </si>
  <si>
    <t>Y1</t>
  </si>
  <si>
    <t>Y2</t>
  </si>
  <si>
    <t>Y3</t>
  </si>
  <si>
    <t>ART Cohort Inputs</t>
  </si>
  <si>
    <t>AHD Assumptions</t>
  </si>
  <si>
    <t>Notes</t>
  </si>
  <si>
    <t>mg/vial of L-AmB</t>
  </si>
  <si>
    <t xml:space="preserve">Cryptococcal Meningitis Treatment and Prevention </t>
  </si>
  <si>
    <t>FACSPresto</t>
  </si>
  <si>
    <t>VISITECT</t>
  </si>
  <si>
    <t>FACSCount</t>
  </si>
  <si>
    <t>PIMA</t>
  </si>
  <si>
    <t>CyFlow Counter</t>
  </si>
  <si>
    <t>Aquios CL Flow</t>
  </si>
  <si>
    <t>% Use Breakdown</t>
  </si>
  <si>
    <t>Commodity Outputs</t>
  </si>
  <si>
    <t>Pharmaceuticals</t>
  </si>
  <si>
    <t>Fluconazole</t>
  </si>
  <si>
    <t>Y1 Cost</t>
  </si>
  <si>
    <t>Y2 Cost</t>
  </si>
  <si>
    <t>Y3 Cost</t>
  </si>
  <si>
    <t>Patients Newly Presenting to, or Re-Initiating in, Care</t>
  </si>
  <si>
    <r>
      <t xml:space="preserve">Of patients who are CrAg positive, % who are </t>
    </r>
    <r>
      <rPr>
        <i/>
        <sz val="11"/>
        <color theme="1"/>
        <rFont val="Calibri"/>
        <family val="2"/>
        <scheme val="minor"/>
      </rPr>
      <t>CSF</t>
    </r>
    <r>
      <rPr>
        <sz val="11"/>
        <color theme="1"/>
        <rFont val="Calibri"/>
        <family val="2"/>
        <scheme val="minor"/>
      </rPr>
      <t xml:space="preserve"> CrAg positive</t>
    </r>
  </si>
  <si>
    <t>Calculation based on other inputs</t>
  </si>
  <si>
    <t>Required Quantities</t>
  </si>
  <si>
    <t>Estimated Costs</t>
  </si>
  <si>
    <t>Tests per Pack</t>
  </si>
  <si>
    <t>Start</t>
  </si>
  <si>
    <t>Year 1, 2, and 3 are calculations</t>
  </si>
  <si>
    <t>Total Costs</t>
  </si>
  <si>
    <t>CrAg Semi-Quantitative (SQ)</t>
  </si>
  <si>
    <t>TB LAM</t>
  </si>
  <si>
    <t>CrAg LFA</t>
  </si>
  <si>
    <t>Percent existing patients with access to AHD services at facility</t>
  </si>
  <si>
    <t>Single high-dose L-AmB + 14 days 5FC and fluconazole</t>
  </si>
  <si>
    <t>14 days 5FC and fluconazole</t>
  </si>
  <si>
    <t>7 days L-AmB, 5FC, and fluconazole</t>
  </si>
  <si>
    <t>Induction</t>
  </si>
  <si>
    <t>Number of new or re-initiating patients</t>
  </si>
  <si>
    <t>Annual attrition rate</t>
  </si>
  <si>
    <t>Buffer stock (extra months of product for supply security)</t>
  </si>
  <si>
    <t>Consolidation</t>
  </si>
  <si>
    <t>Maintenance</t>
  </si>
  <si>
    <t>Induction Therapy for Cryptococcal Meningitis (CSF CrAg Positive)</t>
  </si>
  <si>
    <t>Commodity Inputs</t>
  </si>
  <si>
    <t>2022 WHO Guidelines for diagnosing, preventing and managing cryptococcal disease among adults, adolescents and children living with HIV</t>
  </si>
  <si>
    <t>OI Diagnostics</t>
  </si>
  <si>
    <t>CD4 Tests</t>
  </si>
  <si>
    <t>Y1 Quantity</t>
  </si>
  <si>
    <t>Y2 Quantity</t>
  </si>
  <si>
    <t xml:space="preserve">Y3 Quantity </t>
  </si>
  <si>
    <t>Note: If "other" cryptococcal meningitis 
induction regimen selected, please fill in this table</t>
  </si>
  <si>
    <t>Cost per Pack</t>
  </si>
  <si>
    <t>Y3 Quantity</t>
  </si>
  <si>
    <t>Virally unsuppressed patients accessing AHD services</t>
  </si>
  <si>
    <t>Other (user to fill in)</t>
  </si>
  <si>
    <t>Cost per pack/vial</t>
  </si>
  <si>
    <t>Quantification start</t>
  </si>
  <si>
    <t>Note: tool rounds up pack quantities to next complete pack.</t>
  </si>
  <si>
    <t>Applied annually</t>
  </si>
  <si>
    <t>Demand forecast outputs does not take into account current stock on hand or existing pipeline orders. Those should be factored in before order placement.</t>
  </si>
  <si>
    <t>Notes:</t>
  </si>
  <si>
    <t>Packs of diagnostic tests may need to be split at the central level and distributed to the facility. If this is required, ensure the tool is quantifying for sufficient stock.</t>
  </si>
  <si>
    <t>Suggested Sources</t>
  </si>
  <si>
    <t>Cryptococcal Meningitis Inputs</t>
  </si>
  <si>
    <t>Buffer added on outputs tab</t>
  </si>
  <si>
    <t>CD4 buffer included here</t>
  </si>
  <si>
    <t>New Patients accessing AHD and so need CD4 (buffer added here)</t>
  </si>
  <si>
    <t>Virally unsuppressed patients accessing AHD services (used for CD4 calc and buffer added here)</t>
  </si>
  <si>
    <t># Tests</t>
  </si>
  <si>
    <t># Packs</t>
  </si>
  <si>
    <t>CD4 Testing Product</t>
  </si>
  <si>
    <t>OI Testing Product</t>
  </si>
  <si>
    <t>Cryptococcal Meningitis Medication</t>
  </si>
  <si>
    <t>GeneXpert</t>
  </si>
  <si>
    <t>Tuberculosis</t>
  </si>
  <si>
    <t>Cryptococcal Meningitis</t>
  </si>
  <si>
    <t>Histoplasmosis</t>
  </si>
  <si>
    <t>Amphotericin B Deoxycholate</t>
  </si>
  <si>
    <t># TB Diagnostic Tests</t>
  </si>
  <si>
    <t># CrAg Diagnostic Tests</t>
  </si>
  <si>
    <t># Histoplasmosis Diagnostics tests</t>
  </si>
  <si>
    <t>TB Diagnostics - Total Tests</t>
  </si>
  <si>
    <t>CrAg Diagnostics - Total Tests</t>
  </si>
  <si>
    <t>Histoplasmosis Diagnostics - Total Tests</t>
  </si>
  <si>
    <t>7 days amphotericin B deoxycholate and 5FC, followed by 7 days fluconazole</t>
  </si>
  <si>
    <t>Commodity</t>
  </si>
  <si>
    <t>Total Needed Y1</t>
  </si>
  <si>
    <t>Total Needed Y2</t>
  </si>
  <si>
    <t>Total Needed Y3</t>
  </si>
  <si>
    <t>Single high-dose L-AmB + 14 days 5FC and fluconazole)</t>
  </si>
  <si>
    <t>% Patients accessing regimen</t>
  </si>
  <si>
    <t># Patients accessing regimen</t>
  </si>
  <si>
    <t>L-Amb</t>
  </si>
  <si>
    <t>L-AmB (vials needed)</t>
  </si>
  <si>
    <t>Number of packs needed per regimen per person (packs are rounded up per patient)</t>
  </si>
  <si>
    <t>5FC (Packs needed)</t>
  </si>
  <si>
    <t>Induction Inputs</t>
  </si>
  <si>
    <t>Fluconazole Consolidation</t>
  </si>
  <si>
    <t>Fluconazole Maintenance</t>
  </si>
  <si>
    <t>Total packs needed based on country split of regimen</t>
  </si>
  <si>
    <t>Regimen (proportion of patients accessing)</t>
  </si>
  <si>
    <t>Regimen (number of patients accessing)</t>
  </si>
  <si>
    <t>2022 WHO Cryptococcal Meningitis Guidelines</t>
  </si>
  <si>
    <t>Daily Dose (5FC and L-Amb dosed in mg/kg, fluc dosed in mg/day)</t>
  </si>
  <si>
    <t>Daily Dose (5FC and Aphotericin B Deoxycholate dosed in mg/kg, fluc dosed in mg/day)</t>
  </si>
  <si>
    <t>mg/vial of AmB</t>
  </si>
  <si>
    <t>New platforms no longer available as of May 2022</t>
  </si>
  <si>
    <t>Continued supply of cartridges and bead standards as well as service and refurbishment of  existing analyzers</t>
  </si>
  <si>
    <t>Tests no longer  available for procurement after December 2024. Platform no longer available for procurement, through servicing is available through June 2026</t>
  </si>
  <si>
    <t>Tests no longer available for procurement as of June 2024; final orders expire June 2026.  Platform no longer available for procurement, through servicing is available through June 2026</t>
  </si>
  <si>
    <t>IMMY Histoplasmosis LFA</t>
  </si>
  <si>
    <t>IMMY Histoplasmosis ELISA</t>
  </si>
  <si>
    <t>Users will then fill out the calculator in two parts: 1) "General Inputs", and 2) "Commodity Inputs."</t>
  </si>
  <si>
    <r>
      <t xml:space="preserve">2) </t>
    </r>
    <r>
      <rPr>
        <b/>
        <sz val="11"/>
        <color theme="1"/>
        <rFont val="Calibri"/>
        <family val="2"/>
        <scheme val="minor"/>
      </rPr>
      <t xml:space="preserve">Commodity Inputs: </t>
    </r>
    <r>
      <rPr>
        <sz val="11"/>
        <color theme="1"/>
        <rFont val="Calibri"/>
        <family val="2"/>
        <scheme val="minor"/>
      </rPr>
      <t>Users can adjust the pricing and pack size of flucytosine (5FC), liposomal Amphotericin B (L-AmB), fluconazole, and Amphotericin B deoxycholate based on specific products procured in-country. These have already been filled in based on standard product characteristics. The tool outputs include the number of commodities needed for both new and existing patients, as well as the estimated cost, taking into account buffer stock requirements in the internal calculations.</t>
    </r>
  </si>
  <si>
    <t>The calculator assumes that vials of liposomal Amphotericin B cannot be re-purposed, and thus partially used vials are thrown away. The number of L-AmB vials needed are rounded up per patient.</t>
  </si>
  <si>
    <r>
      <t xml:space="preserve">The calculator calculates the fluconazole needed by rounding up tablets needed for each phase </t>
    </r>
    <r>
      <rPr>
        <b/>
        <sz val="11"/>
        <color theme="1"/>
        <rFont val="Calibri"/>
        <family val="2"/>
        <scheme val="minor"/>
      </rPr>
      <t>separately</t>
    </r>
    <r>
      <rPr>
        <sz val="11"/>
        <color theme="1"/>
        <rFont val="Calibri"/>
        <family val="2"/>
        <scheme val="minor"/>
      </rPr>
      <t xml:space="preserve"> (induction, consolidation, maintenance) per patient.</t>
    </r>
  </si>
  <si>
    <t>5FC daily dosing by weight band</t>
  </si>
  <si>
    <t>Weight of Patient</t>
  </si>
  <si>
    <t>35-39 kg</t>
  </si>
  <si>
    <t>40-44 kg</t>
  </si>
  <si>
    <t>45-49 kg</t>
  </si>
  <si>
    <t>50-54 kg</t>
  </si>
  <si>
    <t>55-59 kg</t>
  </si>
  <si>
    <t>60-64 kg</t>
  </si>
  <si>
    <t>65-69 kg</t>
  </si>
  <si>
    <t>70-74 kg</t>
  </si>
  <si>
    <t>75-79 kg</t>
  </si>
  <si>
    <t>Daily dose (mg) 100mg/kg</t>
  </si>
  <si>
    <t>Suggested schedule of dosing</t>
  </si>
  <si>
    <t>2-2-2-1</t>
  </si>
  <si>
    <t>2-2-2-3</t>
  </si>
  <si>
    <t>3-2-2-2</t>
  </si>
  <si>
    <t>3-2-3-2</t>
  </si>
  <si>
    <t>3-3-3-2</t>
  </si>
  <si>
    <t>3-3-3-3</t>
  </si>
  <si>
    <t>4-3-3-3</t>
  </si>
  <si>
    <t>4-3-4-3</t>
  </si>
  <si>
    <t>4-4-4-3</t>
  </si>
  <si>
    <t>Number of 500mg tablets per day</t>
  </si>
  <si>
    <t>For internal reference, the table to the left shows values before they are rounded up. You can see that the absolute values for 7 days of Fluc vs 14 day regimens of fluc is negligible - all patients will need 7 packs of Fluc regardless of regimen and when we round up. I will remove this note and the table to the left before presenting to GF</t>
  </si>
  <si>
    <t>Regimen</t>
  </si>
  <si>
    <t>Daily Dose</t>
  </si>
  <si>
    <t>Days of Treatment</t>
  </si>
  <si>
    <t>100mg/kg</t>
  </si>
  <si>
    <t>1mg/kg</t>
  </si>
  <si>
    <t>10/kg</t>
  </si>
  <si>
    <t>3mg/kg</t>
  </si>
  <si>
    <t>Formulation</t>
  </si>
  <si>
    <t>500 mg Tablet</t>
  </si>
  <si>
    <t>200 mg Tablet</t>
  </si>
  <si>
    <t>50mg/vial</t>
  </si>
  <si>
    <t>Pack Size</t>
  </si>
  <si>
    <t>1200 mg</t>
  </si>
  <si>
    <t>100 mg/kg</t>
  </si>
  <si>
    <t>Source:</t>
  </si>
  <si>
    <t>800 mg</t>
  </si>
  <si>
    <t>200 mg</t>
  </si>
  <si>
    <t>10 mg/kg</t>
  </si>
  <si>
    <t>3 mg/kg</t>
  </si>
  <si>
    <t>1 mg/kg</t>
  </si>
  <si>
    <t>The calculator assumes that 5FC is available in 500mg tablets (in 100 tab packs) and dosed at 100mg/kg per day.</t>
  </si>
  <si>
    <t>The calculator assumes that L-AmB is available in 50mg vials and dosed at 10mg/kg per day.</t>
  </si>
  <si>
    <r>
      <t>The calculator assumes all patients with a CD4 cell count below 200 cells/</t>
    </r>
    <r>
      <rPr>
        <sz val="11"/>
        <color theme="1"/>
        <rFont val="Calibri"/>
        <family val="2"/>
      </rPr>
      <t>µL will need a CrAg test, a TB test, and a histoplasmosis test</t>
    </r>
    <r>
      <rPr>
        <sz val="11"/>
        <color theme="1"/>
        <rFont val="Calibri"/>
        <family val="2"/>
        <scheme val="minor"/>
      </rPr>
      <t>.</t>
    </r>
  </si>
  <si>
    <t>The AHD Commodity Calculator has been developed to assist programs with the annual quantification of key commodities for the diagnosis and treatment of patients with Advanced HIV Disease (AHD) and related coinfections.</t>
  </si>
  <si>
    <t>Users can modify these assumptions with country data, including the % of (re)initiating patients presenting to care with CD4 &gt;200, and % of existing patients with unsuppressed viral load. Users can also indicate which regimens for cryptococcal meningitis treatment are used in the country.</t>
  </si>
  <si>
    <t>For questions on the tool or considerations for added functionality, please reach out to Alya Omar (aomar@clintonhealthaccess.org).</t>
  </si>
  <si>
    <t>The calculator assumes that packs of TB LAM and CrAg LFA tests are not split between facilities at the national level (e.g., if two facilities need 10 TB LAM tests each, the tool will quantify for one full pack of 25 TB LAM tests for each of the two facilities).</t>
  </si>
  <si>
    <r>
      <rPr>
        <u/>
        <sz val="11"/>
        <color theme="1"/>
        <rFont val="Calibri"/>
        <family val="2"/>
        <scheme val="minor"/>
      </rPr>
      <t>AmB-D</t>
    </r>
    <r>
      <rPr>
        <sz val="11"/>
        <color theme="1"/>
        <rFont val="Calibri"/>
        <family val="2"/>
        <scheme val="minor"/>
      </rPr>
      <t>: Amphotericin D deoxycholate</t>
    </r>
  </si>
  <si>
    <r>
      <rPr>
        <u/>
        <sz val="11"/>
        <color theme="1"/>
        <rFont val="Calibri"/>
        <family val="2"/>
        <scheme val="minor"/>
      </rPr>
      <t>CSF</t>
    </r>
    <r>
      <rPr>
        <sz val="11"/>
        <color theme="1"/>
        <rFont val="Calibri"/>
        <family val="2"/>
        <scheme val="minor"/>
      </rPr>
      <t>: Cerebrospinal fluid</t>
    </r>
  </si>
  <si>
    <r>
      <rPr>
        <u/>
        <sz val="11"/>
        <color theme="1"/>
        <rFont val="Calibri"/>
        <family val="2"/>
        <scheme val="minor"/>
      </rPr>
      <t>AHD</t>
    </r>
    <r>
      <rPr>
        <sz val="11"/>
        <color theme="1"/>
        <rFont val="Calibri"/>
        <family val="2"/>
        <scheme val="minor"/>
      </rPr>
      <t>: Advanced HIV disease</t>
    </r>
  </si>
  <si>
    <r>
      <rPr>
        <u/>
        <sz val="11"/>
        <color theme="1"/>
        <rFont val="Calibri"/>
        <family val="2"/>
        <scheme val="minor"/>
      </rPr>
      <t>ART</t>
    </r>
    <r>
      <rPr>
        <sz val="11"/>
        <color theme="1"/>
        <rFont val="Calibri"/>
        <family val="2"/>
        <scheme val="minor"/>
      </rPr>
      <t>: Antiretroviral therapy</t>
    </r>
  </si>
  <si>
    <r>
      <rPr>
        <u/>
        <sz val="11"/>
        <color theme="1"/>
        <rFont val="Calibri"/>
        <family val="2"/>
        <scheme val="minor"/>
      </rPr>
      <t>ELISA</t>
    </r>
    <r>
      <rPr>
        <sz val="11"/>
        <color theme="1"/>
        <rFont val="Calibri"/>
        <family val="2"/>
        <scheme val="minor"/>
      </rPr>
      <t>:  enzyme-linked immunosorbent assay</t>
    </r>
  </si>
  <si>
    <r>
      <rPr>
        <u/>
        <sz val="11"/>
        <color theme="1"/>
        <rFont val="Calibri"/>
        <family val="2"/>
        <scheme val="minor"/>
      </rPr>
      <t>FBC:</t>
    </r>
    <r>
      <rPr>
        <sz val="11"/>
        <color theme="1"/>
        <rFont val="Calibri"/>
        <family val="2"/>
        <scheme val="minor"/>
      </rPr>
      <t xml:space="preserve"> Full blood count</t>
    </r>
  </si>
  <si>
    <r>
      <rPr>
        <u/>
        <sz val="11"/>
        <color theme="1"/>
        <rFont val="Calibri"/>
        <family val="2"/>
        <scheme val="minor"/>
      </rPr>
      <t>VL</t>
    </r>
    <r>
      <rPr>
        <sz val="11"/>
        <color theme="1"/>
        <rFont val="Calibri"/>
        <family val="2"/>
        <scheme val="minor"/>
      </rPr>
      <t>: Viral load</t>
    </r>
  </si>
  <si>
    <t>% Existing patients on ART with unsuppressed VL</t>
  </si>
  <si>
    <t>7 days AmB-D and 5FC, followed by 7 days fluconazole</t>
  </si>
  <si>
    <t>L-AmB</t>
  </si>
  <si>
    <r>
      <rPr>
        <u/>
        <sz val="11"/>
        <color theme="1"/>
        <rFont val="Calibri"/>
        <family val="2"/>
        <scheme val="minor"/>
      </rPr>
      <t>L-AmB</t>
    </r>
    <r>
      <rPr>
        <sz val="11"/>
        <color theme="1"/>
        <rFont val="Calibri"/>
        <family val="2"/>
        <scheme val="minor"/>
      </rPr>
      <t>: Liposomal Amphotericin B</t>
    </r>
  </si>
  <si>
    <t>AmB-D</t>
  </si>
  <si>
    <t>AmB-D - 50 mg</t>
  </si>
  <si>
    <t>Note: BD FACS Presto platforms and cartridges are no longer available as of March 2024</t>
  </si>
  <si>
    <t>Note: Fluconazole quantifies for use as both treatment for Cryptococcal meningitis as well as pre-emptive therapy for patients who are CSF CrAg negative.</t>
  </si>
  <si>
    <r>
      <t xml:space="preserve">1) </t>
    </r>
    <r>
      <rPr>
        <b/>
        <sz val="11"/>
        <color theme="1"/>
        <rFont val="Calibri"/>
        <family val="2"/>
        <scheme val="minor"/>
      </rPr>
      <t>General Inputs:</t>
    </r>
    <r>
      <rPr>
        <sz val="11"/>
        <color theme="1"/>
        <rFont val="Calibri"/>
        <family val="2"/>
        <scheme val="minor"/>
      </rPr>
      <t xml:space="preserve"> Starting in row 6, users enter the number of existing patients already in care and on ART. The tool will then estimate the percent of existing patients who are virally unsuppressed and who may have AHD. The tool will then calculate the commodity need for this subset of patients. In row 7, users will enter the number of new (or re-initiating) patients expected to present to care annually at the facility level (this could also be done at the regional/provincial/district level). The tool will then calculate the commodity need for new or re-initiating patients based on the user assumptions (e.g., percent of new patients with AHD). </t>
    </r>
  </si>
  <si>
    <t>Input country-specific program data in Row 20 of the "General Inputs" tab. UNAIDS AIDSInfo Database also tracks this indicator.</t>
  </si>
  <si>
    <t xml:space="preserve">Input country-specific program data in Row 21 of the "General Inputs" tab. </t>
  </si>
  <si>
    <t xml:space="preserve">Enter based on program requirements in Row 12 of the "General Inputs" tab. </t>
  </si>
  <si>
    <t>Percent new/re-initiating patients with access to the AHD package of care services at facility</t>
  </si>
  <si>
    <t>Package of care per WHO guidelines includes early identification of AHD, testing for opportunistic infections such as TB, CM, and histoplasmosis, and rapid initiation of ART. Refer to your national guidelines on the latest recommendations in your country. Enter 100% if you wish to quantify for full need rather than expected actual demand.</t>
  </si>
  <si>
    <t>The default prices listed are per pack or per vial ex works. Please update this if your country procures any of these products at a different price or if your program uses different incoterms.</t>
  </si>
  <si>
    <t>Diagnostic Screening</t>
  </si>
  <si>
    <t>OI Screening</t>
  </si>
  <si>
    <t>CD4 Screening</t>
  </si>
  <si>
    <t>WHO defines the AHD package of care as a package of interventions focusing on early identification, rapid initiation of antiretroviral therapy (ART), and proactive management of opportunistic infections like tuberculosis and cryptococcal meningitis, aiming to reduce mortality and morbidity in this high-risk group opportunistic infections. Please refer to the latest recommendations in your country.</t>
  </si>
  <si>
    <t>Percent of patients with access to lumbar puncture</t>
  </si>
  <si>
    <t>Enter 100% if you wish to quantify for full need rather than expected actual demand.</t>
  </si>
  <si>
    <t># Eligible Patients not accessing regimen</t>
  </si>
  <si>
    <t>Patients who are receiving pre-emptive fluconazole instead of treatment due to limited access to lumbar puncture.</t>
  </si>
  <si>
    <t>Cost per Test</t>
  </si>
  <si>
    <t xml:space="preserve">The calculator can also be used at the district/regional/provincial level, instead of the facility level, if desired. </t>
  </si>
  <si>
    <t>Note: Tool rounds up packs and vials to next complete pack per patient.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</si>
</sst>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5" formatCode="&quot;$&quot;#,##0_);\(&quot;$&quot;#,##0\)"/>
    <numFmt numFmtId="7" formatCode="&quot;$&quot;#,##0.00_);\(&quot;$&quot;#,##0.00\)"/>
    <numFmt numFmtId="8" formatCode="&quot;$&quot;#,##0.00_);[Red]\(&quot;$&quot;#,##0.00\)"/>
    <numFmt numFmtId="44" formatCode="_(&quot;$&quot;* #,##0.00_);_(&quot;$&quot;* \(#,##0.00\);_(&quot;$&quot;* &quot;-&quot;??_);_(@_)"/>
    <numFmt numFmtId="164" formatCode="0.0%"/>
    <numFmt numFmtId="165" formatCode="0.0"/>
    <numFmt numFmtId="166" formatCode="&quot;$&quot;#,##0"/>
    <numFmt numFmtId="167" formatCode="[$-409]mmm\-yy;@"/>
    <numFmt numFmtId="170" formatCode="&quot;$&quot;#,##0.00"/>
  </numFmts>
  <fonts count="30" x14ac:knownFonts="1">
    <font>
      <sz val="11"/>
      <color theme="1"/>
      <name val="Calibri"/>
      <family val="2"/>
      <scheme val="minor"/>
    </font>
    <font>
      <b/>
      <sz val="11"/>
      <color theme="0"/>
      <name val="Calibri"/>
      <family val="2"/>
      <scheme val="minor"/>
    </font>
    <font>
      <b/>
      <sz val="11"/>
      <color theme="1"/>
      <name val="Calibri"/>
      <family val="2"/>
      <scheme val="minor"/>
    </font>
    <font>
      <b/>
      <sz val="18"/>
      <color theme="0"/>
      <name val="Calibri"/>
      <family val="2"/>
      <scheme val="minor"/>
    </font>
    <font>
      <b/>
      <sz val="11"/>
      <color theme="0"/>
      <name val="Calibri"/>
      <family val="2"/>
    </font>
    <font>
      <b/>
      <sz val="9.35"/>
      <color theme="0"/>
      <name val="Calibri"/>
      <family val="2"/>
    </font>
    <font>
      <sz val="11"/>
      <color theme="1"/>
      <name val="Calibri"/>
      <family val="2"/>
      <scheme val="minor"/>
    </font>
    <font>
      <u/>
      <sz val="11"/>
      <color theme="10"/>
      <name val="Calibri"/>
      <family val="2"/>
      <scheme val="minor"/>
    </font>
    <font>
      <b/>
      <sz val="16"/>
      <color theme="0"/>
      <name val="Calibri"/>
      <family val="2"/>
      <scheme val="minor"/>
    </font>
    <font>
      <b/>
      <i/>
      <sz val="10"/>
      <color rgb="FFC00000"/>
      <name val="Calibri"/>
      <family val="2"/>
      <scheme val="minor"/>
    </font>
    <font>
      <b/>
      <sz val="12"/>
      <color theme="0"/>
      <name val="Calibri"/>
      <family val="2"/>
      <scheme val="minor"/>
    </font>
    <font>
      <sz val="11"/>
      <color theme="1"/>
      <name val="Calibri"/>
      <family val="2"/>
    </font>
    <font>
      <sz val="11"/>
      <color rgb="FF000000"/>
      <name val="Calibri"/>
      <family val="2"/>
      <scheme val="minor"/>
    </font>
    <font>
      <u/>
      <sz val="11"/>
      <color theme="1"/>
      <name val="Calibri"/>
      <family val="2"/>
      <scheme val="minor"/>
    </font>
    <font>
      <sz val="10"/>
      <color theme="1"/>
      <name val="Calibri"/>
      <family val="2"/>
      <scheme val="minor"/>
    </font>
    <font>
      <u/>
      <sz val="10"/>
      <color theme="10"/>
      <name val="Calibri"/>
      <family val="2"/>
      <scheme val="minor"/>
    </font>
    <font>
      <i/>
      <sz val="11"/>
      <color theme="1"/>
      <name val="Calibri"/>
      <family val="2"/>
      <scheme val="minor"/>
    </font>
    <font>
      <b/>
      <sz val="11"/>
      <color rgb="FFFF0000"/>
      <name val="Calibri"/>
      <family val="2"/>
      <scheme val="minor"/>
    </font>
    <font>
      <i/>
      <sz val="10"/>
      <color theme="1"/>
      <name val="Calibri"/>
      <family val="2"/>
      <scheme val="minor"/>
    </font>
    <font>
      <b/>
      <sz val="11"/>
      <name val="Calibri"/>
      <family val="2"/>
      <scheme val="minor"/>
    </font>
    <font>
      <i/>
      <u/>
      <sz val="10"/>
      <color theme="10"/>
      <name val="Calibri"/>
      <family val="2"/>
      <scheme val="minor"/>
    </font>
    <font>
      <sz val="11"/>
      <color rgb="FFC00000"/>
      <name val="Calibri"/>
      <family val="2"/>
      <scheme val="minor"/>
    </font>
    <font>
      <sz val="11"/>
      <name val="Calibri"/>
      <family val="2"/>
      <scheme val="minor"/>
    </font>
    <font>
      <b/>
      <sz val="11"/>
      <color rgb="FFC00000"/>
      <name val="Calibri"/>
      <family val="2"/>
      <scheme val="minor"/>
    </font>
    <font>
      <sz val="11"/>
      <color rgb="FFFF0000"/>
      <name val="Calibri"/>
      <family val="2"/>
      <scheme val="minor"/>
    </font>
    <font>
      <sz val="11"/>
      <color theme="0"/>
      <name val="Calibri"/>
      <family val="2"/>
      <scheme val="minor"/>
    </font>
    <font>
      <sz val="8"/>
      <name val="Calibri"/>
      <family val="2"/>
      <scheme val="minor"/>
    </font>
    <font>
      <sz val="10"/>
      <color theme="1"/>
      <name val="Barlow"/>
    </font>
    <font>
      <sz val="10"/>
      <color theme="1"/>
      <name val="Calibri"/>
      <family val="2"/>
    </font>
    <font>
      <i/>
      <sz val="10"/>
      <color theme="1"/>
      <name val="Calibri"/>
      <family val="2"/>
    </font>
  </fonts>
  <fills count="18">
    <fill>
      <patternFill patternType="none"/>
    </fill>
    <fill>
      <patternFill patternType="gray125"/>
    </fill>
    <fill>
      <patternFill patternType="solid">
        <fgColor theme="3"/>
        <bgColor indexed="64"/>
      </patternFill>
    </fill>
    <fill>
      <patternFill patternType="solid">
        <fgColor theme="0" tint="-4.9989318521683403E-2"/>
        <bgColor indexed="64"/>
      </patternFill>
    </fill>
    <fill>
      <patternFill patternType="solid">
        <fgColor theme="5" tint="0.79998168889431442"/>
        <bgColor indexed="64"/>
      </patternFill>
    </fill>
    <fill>
      <patternFill patternType="solid">
        <fgColor theme="0"/>
        <bgColor indexed="64"/>
      </patternFill>
    </fill>
    <fill>
      <patternFill patternType="solid">
        <fgColor theme="4"/>
        <bgColor indexed="64"/>
      </patternFill>
    </fill>
    <fill>
      <patternFill patternType="solid">
        <fgColor theme="8" tint="0.79998168889431442"/>
        <bgColor indexed="64"/>
      </patternFill>
    </fill>
    <fill>
      <patternFill patternType="solid">
        <fgColor theme="1" tint="0.34998626667073579"/>
        <bgColor indexed="64"/>
      </patternFill>
    </fill>
    <fill>
      <patternFill patternType="solid">
        <fgColor theme="3" tint="0.39997558519241921"/>
        <bgColor indexed="64"/>
      </patternFill>
    </fill>
    <fill>
      <patternFill patternType="solid">
        <fgColor theme="6"/>
        <bgColor indexed="64"/>
      </patternFill>
    </fill>
    <fill>
      <patternFill patternType="solid">
        <fgColor theme="9" tint="0.79998168889431442"/>
        <bgColor indexed="64"/>
      </patternFill>
    </fill>
    <fill>
      <patternFill patternType="solid">
        <fgColor theme="4" tint="-0.249977111117893"/>
        <bgColor indexed="64"/>
      </patternFill>
    </fill>
    <fill>
      <patternFill patternType="solid">
        <fgColor theme="2"/>
        <bgColor indexed="64"/>
      </patternFill>
    </fill>
    <fill>
      <patternFill patternType="solid">
        <fgColor theme="2" tint="-0.249977111117893"/>
        <bgColor indexed="64"/>
      </patternFill>
    </fill>
    <fill>
      <patternFill patternType="solid">
        <fgColor theme="8" tint="-0.499984740745262"/>
        <bgColor indexed="64"/>
      </patternFill>
    </fill>
    <fill>
      <patternFill patternType="solid">
        <fgColor rgb="FF002060"/>
        <bgColor indexed="64"/>
      </patternFill>
    </fill>
    <fill>
      <patternFill patternType="solid">
        <fgColor theme="0" tint="-0.34998626667073579"/>
        <bgColor indexed="64"/>
      </patternFill>
    </fill>
  </fills>
  <borders count="6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diagonal/>
    </border>
    <border>
      <left style="thin">
        <color indexed="64"/>
      </left>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right/>
      <top style="thin">
        <color theme="1" tint="0.499984740745262"/>
      </top>
      <bottom style="thin">
        <color theme="1" tint="0.499984740745262"/>
      </bottom>
      <diagonal/>
    </border>
    <border>
      <left/>
      <right style="thin">
        <color theme="1" tint="0.499984740745262"/>
      </right>
      <top style="thin">
        <color theme="1" tint="0.499984740745262"/>
      </top>
      <bottom style="thin">
        <color theme="1" tint="0.499984740745262"/>
      </bottom>
      <diagonal/>
    </border>
    <border>
      <left/>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right style="medium">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top/>
      <bottom style="thin">
        <color indexed="64"/>
      </bottom>
      <diagonal/>
    </border>
    <border>
      <left/>
      <right/>
      <top/>
      <bottom style="medium">
        <color indexed="64"/>
      </bottom>
      <diagonal/>
    </border>
    <border>
      <left style="medium">
        <color indexed="64"/>
      </left>
      <right/>
      <top style="thin">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thin">
        <color indexed="64"/>
      </left>
      <right/>
      <top style="medium">
        <color indexed="64"/>
      </top>
      <bottom style="medium">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right/>
      <top/>
      <bottom style="thin">
        <color indexed="64"/>
      </bottom>
      <diagonal/>
    </border>
    <border>
      <left/>
      <right style="medium">
        <color indexed="64"/>
      </right>
      <top/>
      <bottom style="thin">
        <color indexed="64"/>
      </bottom>
      <diagonal/>
    </border>
    <border>
      <left/>
      <right/>
      <top style="medium">
        <color indexed="64"/>
      </top>
      <bottom/>
      <diagonal/>
    </border>
    <border>
      <left/>
      <right style="medium">
        <color indexed="64"/>
      </right>
      <top/>
      <bottom/>
      <diagonal/>
    </border>
    <border>
      <left style="medium">
        <color indexed="64"/>
      </left>
      <right/>
      <top/>
      <bottom/>
      <diagonal/>
    </border>
    <border>
      <left/>
      <right style="thin">
        <color indexed="64"/>
      </right>
      <top style="thin">
        <color indexed="64"/>
      </top>
      <bottom/>
      <diagonal/>
    </border>
    <border>
      <left/>
      <right style="thin">
        <color indexed="64"/>
      </right>
      <top style="medium">
        <color indexed="64"/>
      </top>
      <bottom style="thin">
        <color indexed="64"/>
      </bottom>
      <diagonal/>
    </border>
    <border>
      <left/>
      <right/>
      <top style="thin">
        <color indexed="64"/>
      </top>
      <bottom style="medium">
        <color indexed="64"/>
      </bottom>
      <diagonal/>
    </border>
    <border>
      <left style="medium">
        <color indexed="64"/>
      </left>
      <right style="thin">
        <color indexed="64"/>
      </right>
      <top style="thin">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style="thin">
        <color indexed="64"/>
      </left>
      <right style="medium">
        <color indexed="64"/>
      </right>
      <top style="thin">
        <color indexed="64"/>
      </top>
      <bottom/>
      <diagonal/>
    </border>
    <border>
      <left/>
      <right style="thin">
        <color indexed="64"/>
      </right>
      <top style="medium">
        <color indexed="64"/>
      </top>
      <bottom/>
      <diagonal/>
    </border>
    <border>
      <left/>
      <right style="medium">
        <color indexed="64"/>
      </right>
      <top style="thin">
        <color indexed="64"/>
      </top>
      <bottom/>
      <diagonal/>
    </border>
    <border>
      <left/>
      <right/>
      <top style="thin">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theme="0"/>
      </right>
      <top style="thin">
        <color indexed="64"/>
      </top>
      <bottom style="thin">
        <color indexed="64"/>
      </bottom>
      <diagonal/>
    </border>
    <border>
      <left style="medium">
        <color indexed="64"/>
      </left>
      <right/>
      <top/>
      <bottom style="medium">
        <color indexed="64"/>
      </bottom>
      <diagonal/>
    </border>
  </borders>
  <cellStyleXfs count="4">
    <xf numFmtId="0" fontId="0" fillId="0" borderId="0"/>
    <xf numFmtId="44" fontId="6" fillId="0" borderId="0" applyFont="0" applyFill="0" applyBorder="0" applyAlignment="0" applyProtection="0"/>
    <xf numFmtId="0" fontId="7" fillId="0" borderId="0" applyNumberFormat="0" applyFill="0" applyBorder="0" applyAlignment="0" applyProtection="0"/>
    <xf numFmtId="9" fontId="6" fillId="0" borderId="0" applyFont="0" applyFill="0" applyBorder="0" applyAlignment="0" applyProtection="0"/>
  </cellStyleXfs>
  <cellXfs count="389">
    <xf numFmtId="0" fontId="0" fillId="0" borderId="0" xfId="0"/>
    <xf numFmtId="0" fontId="3" fillId="2" borderId="0" xfId="0" applyFont="1" applyFill="1" applyAlignment="1">
      <alignment vertical="center"/>
    </xf>
    <xf numFmtId="0" fontId="0" fillId="4" borderId="1" xfId="0" applyFill="1" applyBorder="1" applyAlignment="1">
      <alignment horizontal="center"/>
    </xf>
    <xf numFmtId="0" fontId="0" fillId="3" borderId="1" xfId="0" applyFill="1" applyBorder="1" applyAlignment="1">
      <alignment horizontal="center"/>
    </xf>
    <xf numFmtId="0" fontId="0" fillId="5" borderId="0" xfId="0" applyFill="1"/>
    <xf numFmtId="3" fontId="0" fillId="3" borderId="1" xfId="0" applyNumberFormat="1" applyFill="1" applyBorder="1"/>
    <xf numFmtId="0" fontId="2" fillId="0" borderId="0" xfId="0" applyFont="1"/>
    <xf numFmtId="0" fontId="1" fillId="2" borderId="1" xfId="0" applyFont="1" applyFill="1" applyBorder="1" applyAlignment="1">
      <alignment horizontal="center" vertical="center" wrapText="1"/>
    </xf>
    <xf numFmtId="0" fontId="0" fillId="5" borderId="0" xfId="0" applyFill="1" applyAlignment="1">
      <alignment vertical="center" wrapText="1"/>
    </xf>
    <xf numFmtId="0" fontId="0" fillId="0" borderId="0" xfId="0" applyAlignment="1">
      <alignment vertical="center" wrapText="1"/>
    </xf>
    <xf numFmtId="0" fontId="1" fillId="2" borderId="3" xfId="0" applyFont="1" applyFill="1" applyBorder="1" applyAlignment="1">
      <alignment horizontal="center" vertical="center" wrapText="1"/>
    </xf>
    <xf numFmtId="0" fontId="0" fillId="0" borderId="0" xfId="0" applyAlignment="1">
      <alignment vertical="center"/>
    </xf>
    <xf numFmtId="0" fontId="2" fillId="7" borderId="0" xfId="0" applyFont="1" applyFill="1"/>
    <xf numFmtId="0" fontId="0" fillId="7" borderId="0" xfId="0" applyFill="1"/>
    <xf numFmtId="3" fontId="0" fillId="4" borderId="1" xfId="0" applyNumberFormat="1" applyFill="1" applyBorder="1" applyProtection="1">
      <protection locked="0"/>
    </xf>
    <xf numFmtId="1" fontId="0" fillId="4" borderId="1" xfId="0" applyNumberFormat="1" applyFill="1" applyBorder="1" applyAlignment="1" applyProtection="1">
      <alignment horizontal="center" vertical="center"/>
      <protection locked="0"/>
    </xf>
    <xf numFmtId="0" fontId="8" fillId="2" borderId="0" xfId="0" applyFont="1" applyFill="1"/>
    <xf numFmtId="0" fontId="9" fillId="0" borderId="0" xfId="0" applyFont="1" applyAlignment="1">
      <alignment horizontal="left" indent="1"/>
    </xf>
    <xf numFmtId="0" fontId="0" fillId="0" borderId="0" xfId="0" applyAlignment="1">
      <alignment horizontal="left" indent="1"/>
    </xf>
    <xf numFmtId="0" fontId="12" fillId="0" borderId="0" xfId="0" applyFont="1"/>
    <xf numFmtId="0" fontId="0" fillId="0" borderId="0" xfId="0" applyAlignment="1">
      <alignment horizontal="left" indent="2"/>
    </xf>
    <xf numFmtId="0" fontId="1" fillId="9" borderId="1" xfId="0" applyFont="1" applyFill="1" applyBorder="1" applyAlignment="1">
      <alignment horizontal="center" vertical="center" wrapText="1"/>
    </xf>
    <xf numFmtId="0" fontId="1" fillId="9" borderId="8" xfId="0" applyFont="1" applyFill="1" applyBorder="1" applyAlignment="1">
      <alignment horizontal="center" vertical="center"/>
    </xf>
    <xf numFmtId="0" fontId="1" fillId="9" borderId="9" xfId="0" applyFont="1" applyFill="1" applyBorder="1" applyAlignment="1">
      <alignment horizontal="center" vertical="center" wrapText="1"/>
    </xf>
    <xf numFmtId="0" fontId="0" fillId="0" borderId="1" xfId="0" applyBorder="1" applyAlignment="1">
      <alignment vertical="center" wrapText="1"/>
    </xf>
    <xf numFmtId="0" fontId="0" fillId="0" borderId="1" xfId="0" applyBorder="1" applyAlignment="1">
      <alignment vertical="center"/>
    </xf>
    <xf numFmtId="0" fontId="0" fillId="0" borderId="1" xfId="0" applyBorder="1"/>
    <xf numFmtId="0" fontId="14" fillId="0" borderId="0" xfId="0" applyFont="1"/>
    <xf numFmtId="10" fontId="14" fillId="0" borderId="0" xfId="3" applyNumberFormat="1" applyFont="1"/>
    <xf numFmtId="0" fontId="15" fillId="0" borderId="0" xfId="2" applyFont="1"/>
    <xf numFmtId="1" fontId="0" fillId="4" borderId="8" xfId="0" applyNumberFormat="1" applyFill="1" applyBorder="1" applyAlignment="1" applyProtection="1">
      <alignment horizontal="center" vertical="center"/>
      <protection locked="0"/>
    </xf>
    <xf numFmtId="9" fontId="0" fillId="3" borderId="1" xfId="0" applyNumberFormat="1" applyFill="1" applyBorder="1" applyAlignment="1">
      <alignment vertical="center"/>
    </xf>
    <xf numFmtId="164" fontId="0" fillId="3" borderId="1" xfId="0" applyNumberFormat="1" applyFill="1" applyBorder="1" applyAlignment="1">
      <alignment vertical="center"/>
    </xf>
    <xf numFmtId="165" fontId="0" fillId="3" borderId="1" xfId="0" applyNumberFormat="1" applyFill="1" applyBorder="1" applyAlignment="1">
      <alignment vertical="center"/>
    </xf>
    <xf numFmtId="2" fontId="0" fillId="3" borderId="1" xfId="0" applyNumberFormat="1" applyFill="1" applyBorder="1" applyAlignment="1">
      <alignment horizontal="right"/>
    </xf>
    <xf numFmtId="0" fontId="0" fillId="0" borderId="0" xfId="0" applyAlignment="1">
      <alignment horizontal="center"/>
    </xf>
    <xf numFmtId="9" fontId="0" fillId="4" borderId="1" xfId="0" applyNumberFormat="1" applyFill="1" applyBorder="1" applyAlignment="1" applyProtection="1">
      <alignment vertical="center"/>
      <protection locked="0"/>
    </xf>
    <xf numFmtId="164" fontId="0" fillId="4" borderId="1" xfId="0" applyNumberFormat="1" applyFill="1" applyBorder="1" applyAlignment="1" applyProtection="1">
      <alignment vertical="center"/>
      <protection locked="0"/>
    </xf>
    <xf numFmtId="0" fontId="0" fillId="6" borderId="0" xfId="0" applyFill="1"/>
    <xf numFmtId="0" fontId="2" fillId="0" borderId="0" xfId="0" applyFont="1" applyAlignment="1">
      <alignment horizontal="center"/>
    </xf>
    <xf numFmtId="0" fontId="0" fillId="0" borderId="23" xfId="0" applyBorder="1" applyAlignment="1">
      <alignment vertical="center" wrapText="1"/>
    </xf>
    <xf numFmtId="0" fontId="0" fillId="0" borderId="21" xfId="0" applyBorder="1" applyAlignment="1">
      <alignment vertical="center" wrapText="1"/>
    </xf>
    <xf numFmtId="0" fontId="0" fillId="0" borderId="25" xfId="0" applyBorder="1" applyAlignment="1">
      <alignment vertical="center" wrapText="1"/>
    </xf>
    <xf numFmtId="0" fontId="0" fillId="10" borderId="0" xfId="0" applyFill="1"/>
    <xf numFmtId="0" fontId="1" fillId="10" borderId="0" xfId="0" applyFont="1" applyFill="1"/>
    <xf numFmtId="0" fontId="10" fillId="6" borderId="0" xfId="0" applyFont="1" applyFill="1" applyAlignment="1">
      <alignment vertical="center"/>
    </xf>
    <xf numFmtId="9" fontId="0" fillId="4" borderId="1" xfId="3" applyFont="1" applyFill="1" applyBorder="1" applyProtection="1">
      <protection locked="0"/>
    </xf>
    <xf numFmtId="0" fontId="0" fillId="7" borderId="0" xfId="0" applyFill="1" applyAlignment="1">
      <alignment horizontal="center"/>
    </xf>
    <xf numFmtId="0" fontId="1" fillId="9" borderId="15" xfId="0" applyFont="1" applyFill="1" applyBorder="1" applyAlignment="1">
      <alignment horizontal="center" vertical="center" wrapText="1"/>
    </xf>
    <xf numFmtId="0" fontId="1" fillId="9" borderId="37" xfId="0" applyFont="1" applyFill="1" applyBorder="1" applyAlignment="1">
      <alignment horizontal="center" vertical="center" wrapText="1"/>
    </xf>
    <xf numFmtId="0" fontId="1" fillId="9" borderId="14" xfId="0" applyFont="1" applyFill="1" applyBorder="1" applyAlignment="1">
      <alignment horizontal="center" vertical="center" wrapText="1"/>
    </xf>
    <xf numFmtId="167" fontId="0" fillId="4" borderId="1" xfId="0" applyNumberFormat="1" applyFill="1" applyBorder="1" applyProtection="1">
      <protection locked="0"/>
    </xf>
    <xf numFmtId="0" fontId="1" fillId="9" borderId="38" xfId="0" applyFont="1" applyFill="1" applyBorder="1" applyAlignment="1">
      <alignment horizontal="center" vertical="center"/>
    </xf>
    <xf numFmtId="0" fontId="1" fillId="9" borderId="40" xfId="0" applyFont="1" applyFill="1" applyBorder="1" applyAlignment="1">
      <alignment horizontal="center" vertical="center" wrapText="1"/>
    </xf>
    <xf numFmtId="3" fontId="0" fillId="0" borderId="8" xfId="0" applyNumberFormat="1" applyBorder="1" applyAlignment="1">
      <alignment horizontal="right" vertical="center" indent="1"/>
    </xf>
    <xf numFmtId="3" fontId="0" fillId="0" borderId="9" xfId="0" applyNumberFormat="1" applyBorder="1" applyAlignment="1">
      <alignment horizontal="right" vertical="center" indent="1"/>
    </xf>
    <xf numFmtId="3" fontId="0" fillId="0" borderId="10" xfId="0" applyNumberFormat="1" applyBorder="1" applyAlignment="1">
      <alignment horizontal="right" vertical="center" indent="1"/>
    </xf>
    <xf numFmtId="3" fontId="0" fillId="0" borderId="5" xfId="0" applyNumberFormat="1" applyBorder="1" applyAlignment="1">
      <alignment horizontal="right" vertical="center" indent="1"/>
    </xf>
    <xf numFmtId="3" fontId="0" fillId="0" borderId="16" xfId="0" applyNumberFormat="1" applyBorder="1" applyAlignment="1">
      <alignment horizontal="right" vertical="center" indent="1"/>
    </xf>
    <xf numFmtId="3" fontId="0" fillId="0" borderId="17" xfId="0" applyNumberFormat="1" applyBorder="1" applyAlignment="1">
      <alignment horizontal="right" vertical="center" indent="1"/>
    </xf>
    <xf numFmtId="166" fontId="0" fillId="0" borderId="1" xfId="0" applyNumberFormat="1" applyBorder="1" applyAlignment="1">
      <alignment horizontal="right" vertical="center" indent="1"/>
    </xf>
    <xf numFmtId="166" fontId="0" fillId="0" borderId="4" xfId="0" applyNumberFormat="1" applyBorder="1" applyAlignment="1">
      <alignment horizontal="right" vertical="center" indent="1"/>
    </xf>
    <xf numFmtId="166" fontId="0" fillId="0" borderId="22" xfId="0" applyNumberFormat="1" applyBorder="1" applyAlignment="1">
      <alignment horizontal="right" vertical="center" indent="1"/>
    </xf>
    <xf numFmtId="166" fontId="0" fillId="0" borderId="9" xfId="0" applyNumberFormat="1" applyBorder="1" applyAlignment="1">
      <alignment horizontal="right" vertical="center" indent="1"/>
    </xf>
    <xf numFmtId="166" fontId="0" fillId="0" borderId="41" xfId="0" applyNumberFormat="1" applyBorder="1" applyAlignment="1">
      <alignment horizontal="right" vertical="center" indent="1"/>
    </xf>
    <xf numFmtId="166" fontId="0" fillId="0" borderId="5" xfId="0" applyNumberFormat="1" applyBorder="1" applyAlignment="1">
      <alignment horizontal="right" vertical="center" indent="1"/>
    </xf>
    <xf numFmtId="166" fontId="0" fillId="0" borderId="42" xfId="0" applyNumberFormat="1" applyBorder="1" applyAlignment="1">
      <alignment horizontal="right" vertical="center" indent="1"/>
    </xf>
    <xf numFmtId="166" fontId="0" fillId="0" borderId="37" xfId="0" applyNumberFormat="1" applyBorder="1"/>
    <xf numFmtId="166" fontId="0" fillId="0" borderId="43" xfId="0" applyNumberFormat="1" applyBorder="1"/>
    <xf numFmtId="166" fontId="0" fillId="11" borderId="28" xfId="0" applyNumberFormat="1" applyFill="1" applyBorder="1"/>
    <xf numFmtId="0" fontId="16" fillId="0" borderId="0" xfId="0" applyFont="1"/>
    <xf numFmtId="3" fontId="0" fillId="4" borderId="9" xfId="0" applyNumberFormat="1" applyFill="1" applyBorder="1" applyAlignment="1" applyProtection="1">
      <alignment horizontal="center" vertical="center"/>
      <protection locked="0"/>
    </xf>
    <xf numFmtId="0" fontId="2" fillId="5" borderId="21" xfId="0" applyFont="1" applyFill="1" applyBorder="1" applyAlignment="1">
      <alignment horizontal="left"/>
    </xf>
    <xf numFmtId="0" fontId="2" fillId="5" borderId="25" xfId="0" applyFont="1" applyFill="1" applyBorder="1" applyAlignment="1">
      <alignment horizontal="left"/>
    </xf>
    <xf numFmtId="0" fontId="1" fillId="9" borderId="14" xfId="0" applyFont="1" applyFill="1" applyBorder="1" applyAlignment="1">
      <alignment horizontal="center" vertical="center"/>
    </xf>
    <xf numFmtId="0" fontId="1" fillId="9" borderId="15" xfId="0" applyFont="1" applyFill="1" applyBorder="1" applyAlignment="1">
      <alignment horizontal="center" vertical="center"/>
    </xf>
    <xf numFmtId="0" fontId="2" fillId="0" borderId="24" xfId="0" applyFont="1" applyBorder="1" applyAlignment="1">
      <alignment horizontal="centerContinuous"/>
    </xf>
    <xf numFmtId="0" fontId="2" fillId="0" borderId="26" xfId="0" applyFont="1" applyBorder="1" applyAlignment="1">
      <alignment horizontal="centerContinuous"/>
    </xf>
    <xf numFmtId="0" fontId="2" fillId="0" borderId="27" xfId="0" applyFont="1" applyBorder="1" applyAlignment="1">
      <alignment horizontal="centerContinuous"/>
    </xf>
    <xf numFmtId="0" fontId="18" fillId="0" borderId="0" xfId="0" applyFont="1" applyAlignment="1">
      <alignment horizontal="right"/>
    </xf>
    <xf numFmtId="166" fontId="0" fillId="0" borderId="8" xfId="0" applyNumberFormat="1" applyBorder="1" applyAlignment="1">
      <alignment horizontal="right" vertical="center" indent="1"/>
    </xf>
    <xf numFmtId="166" fontId="0" fillId="0" borderId="10" xfId="0" applyNumberFormat="1" applyBorder="1" applyAlignment="1">
      <alignment horizontal="right" vertical="center" indent="1"/>
    </xf>
    <xf numFmtId="166" fontId="0" fillId="0" borderId="14" xfId="0" applyNumberFormat="1" applyBorder="1"/>
    <xf numFmtId="0" fontId="2" fillId="0" borderId="0" xfId="0" applyFont="1" applyAlignment="1">
      <alignment horizontal="centerContinuous"/>
    </xf>
    <xf numFmtId="0" fontId="1" fillId="9" borderId="43" xfId="0" applyFont="1" applyFill="1" applyBorder="1" applyAlignment="1">
      <alignment horizontal="center" vertical="center" wrapText="1"/>
    </xf>
    <xf numFmtId="0" fontId="1" fillId="9" borderId="28" xfId="0" applyFont="1" applyFill="1" applyBorder="1" applyAlignment="1">
      <alignment horizontal="center" vertical="center" wrapText="1"/>
    </xf>
    <xf numFmtId="166" fontId="0" fillId="0" borderId="30" xfId="0" applyNumberFormat="1" applyBorder="1" applyAlignment="1">
      <alignment horizontal="right" vertical="center" indent="1"/>
    </xf>
    <xf numFmtId="166" fontId="0" fillId="0" borderId="31" xfId="0" applyNumberFormat="1" applyBorder="1" applyAlignment="1">
      <alignment horizontal="right" vertical="center" indent="1"/>
    </xf>
    <xf numFmtId="7" fontId="0" fillId="4" borderId="36" xfId="1" applyNumberFormat="1" applyFont="1" applyFill="1" applyBorder="1" applyAlignment="1" applyProtection="1">
      <alignment horizontal="right" vertical="center" indent="1"/>
      <protection locked="0"/>
    </xf>
    <xf numFmtId="17" fontId="0" fillId="0" borderId="0" xfId="0" applyNumberFormat="1"/>
    <xf numFmtId="3" fontId="0" fillId="0" borderId="41" xfId="0" applyNumberFormat="1" applyBorder="1" applyAlignment="1">
      <alignment horizontal="right" vertical="center" indent="1"/>
    </xf>
    <xf numFmtId="3" fontId="0" fillId="0" borderId="42" xfId="0" applyNumberFormat="1" applyBorder="1" applyAlignment="1">
      <alignment horizontal="right" vertical="center" indent="1"/>
    </xf>
    <xf numFmtId="0" fontId="2" fillId="5" borderId="6" xfId="0" applyFont="1" applyFill="1" applyBorder="1" applyAlignment="1">
      <alignment horizontal="left"/>
    </xf>
    <xf numFmtId="3" fontId="0" fillId="0" borderId="1" xfId="0" applyNumberFormat="1" applyBorder="1" applyAlignment="1">
      <alignment horizontal="right" vertical="center" indent="1"/>
    </xf>
    <xf numFmtId="166" fontId="0" fillId="0" borderId="34" xfId="0" applyNumberFormat="1" applyBorder="1" applyAlignment="1">
      <alignment horizontal="right" vertical="center" indent="1"/>
    </xf>
    <xf numFmtId="166" fontId="0" fillId="0" borderId="2" xfId="0" applyNumberFormat="1" applyBorder="1" applyAlignment="1">
      <alignment horizontal="right" vertical="center" indent="1"/>
    </xf>
    <xf numFmtId="166" fontId="0" fillId="0" borderId="35" xfId="0" applyNumberFormat="1" applyBorder="1" applyAlignment="1">
      <alignment horizontal="right" vertical="center" indent="1"/>
    </xf>
    <xf numFmtId="166" fontId="0" fillId="0" borderId="47" xfId="0" applyNumberFormat="1" applyBorder="1" applyAlignment="1">
      <alignment horizontal="right" vertical="center" indent="1"/>
    </xf>
    <xf numFmtId="0" fontId="1" fillId="9" borderId="27" xfId="0" applyFont="1" applyFill="1" applyBorder="1" applyAlignment="1">
      <alignment horizontal="center" vertical="center" wrapText="1"/>
    </xf>
    <xf numFmtId="7" fontId="0" fillId="4" borderId="30" xfId="1" applyNumberFormat="1" applyFont="1" applyFill="1" applyBorder="1" applyAlignment="1" applyProtection="1">
      <alignment horizontal="right" vertical="center" indent="1"/>
      <protection locked="0"/>
    </xf>
    <xf numFmtId="9" fontId="0" fillId="4" borderId="34" xfId="3" applyFont="1" applyFill="1" applyBorder="1" applyAlignment="1" applyProtection="1">
      <alignment horizontal="center"/>
      <protection locked="0"/>
    </xf>
    <xf numFmtId="9" fontId="0" fillId="4" borderId="2" xfId="3" applyFont="1" applyFill="1" applyBorder="1" applyAlignment="1" applyProtection="1">
      <alignment horizontal="center"/>
      <protection locked="0"/>
    </xf>
    <xf numFmtId="9" fontId="0" fillId="4" borderId="35" xfId="3" applyFont="1" applyFill="1" applyBorder="1" applyAlignment="1" applyProtection="1">
      <alignment horizontal="center"/>
      <protection locked="0"/>
    </xf>
    <xf numFmtId="9" fontId="0" fillId="4" borderId="8" xfId="3" applyFont="1" applyFill="1" applyBorder="1" applyAlignment="1" applyProtection="1">
      <alignment horizontal="center"/>
      <protection locked="0"/>
    </xf>
    <xf numFmtId="9" fontId="0" fillId="4" borderId="1" xfId="3" applyFont="1" applyFill="1" applyBorder="1" applyAlignment="1" applyProtection="1">
      <alignment horizontal="center"/>
      <protection locked="0"/>
    </xf>
    <xf numFmtId="9" fontId="0" fillId="4" borderId="9" xfId="3" applyFont="1" applyFill="1" applyBorder="1" applyAlignment="1" applyProtection="1">
      <alignment horizontal="center"/>
      <protection locked="0"/>
    </xf>
    <xf numFmtId="0" fontId="1" fillId="12" borderId="20" xfId="0" applyFont="1" applyFill="1" applyBorder="1" applyAlignment="1">
      <alignment horizontal="center" vertical="center"/>
    </xf>
    <xf numFmtId="0" fontId="0" fillId="0" borderId="32" xfId="0" applyBorder="1" applyAlignment="1">
      <alignment vertical="center" wrapText="1"/>
    </xf>
    <xf numFmtId="3" fontId="0" fillId="14" borderId="1" xfId="0" applyNumberFormat="1" applyFill="1" applyBorder="1" applyAlignment="1">
      <alignment horizontal="center" vertical="center"/>
    </xf>
    <xf numFmtId="1" fontId="0" fillId="13" borderId="1" xfId="0" applyNumberFormat="1" applyFill="1" applyBorder="1" applyAlignment="1">
      <alignment horizontal="center" vertical="center"/>
    </xf>
    <xf numFmtId="1" fontId="0" fillId="13" borderId="9" xfId="0" applyNumberFormat="1" applyFill="1" applyBorder="1" applyAlignment="1">
      <alignment horizontal="center" vertical="center"/>
    </xf>
    <xf numFmtId="0" fontId="0" fillId="0" borderId="30" xfId="0" applyBorder="1" applyAlignment="1">
      <alignment vertical="center" wrapText="1"/>
    </xf>
    <xf numFmtId="3" fontId="0" fillId="14" borderId="5" xfId="0" applyNumberFormat="1" applyFill="1" applyBorder="1" applyAlignment="1">
      <alignment horizontal="center" vertical="center"/>
    </xf>
    <xf numFmtId="0" fontId="0" fillId="0" borderId="31" xfId="0" applyBorder="1" applyAlignment="1">
      <alignment vertical="center" wrapText="1"/>
    </xf>
    <xf numFmtId="0" fontId="1" fillId="9" borderId="26" xfId="0" applyFont="1" applyFill="1" applyBorder="1" applyAlignment="1">
      <alignment horizontal="left" vertical="center"/>
    </xf>
    <xf numFmtId="0" fontId="1" fillId="9" borderId="28" xfId="0" applyFont="1" applyFill="1" applyBorder="1" applyAlignment="1">
      <alignment horizontal="center" vertical="center"/>
    </xf>
    <xf numFmtId="0" fontId="1" fillId="9" borderId="37" xfId="0" applyFont="1" applyFill="1" applyBorder="1" applyAlignment="1">
      <alignment horizontal="center" vertical="center"/>
    </xf>
    <xf numFmtId="0" fontId="18" fillId="0" borderId="0" xfId="0" applyFont="1"/>
    <xf numFmtId="0" fontId="21" fillId="0" borderId="0" xfId="0" applyFont="1"/>
    <xf numFmtId="9" fontId="0" fillId="0" borderId="0" xfId="0" applyNumberFormat="1"/>
    <xf numFmtId="167" fontId="0" fillId="5" borderId="1" xfId="0" applyNumberFormat="1" applyFill="1" applyBorder="1"/>
    <xf numFmtId="0" fontId="18" fillId="0" borderId="0" xfId="0" applyFont="1" applyAlignment="1">
      <alignment horizontal="left"/>
    </xf>
    <xf numFmtId="0" fontId="20" fillId="0" borderId="0" xfId="2" applyFont="1" applyProtection="1"/>
    <xf numFmtId="165" fontId="18" fillId="0" borderId="0" xfId="0" applyNumberFormat="1" applyFont="1" applyAlignment="1">
      <alignment vertical="center"/>
    </xf>
    <xf numFmtId="0" fontId="1" fillId="9" borderId="33" xfId="0" applyFont="1" applyFill="1" applyBorder="1" applyAlignment="1">
      <alignment horizontal="center" vertical="center" wrapText="1"/>
    </xf>
    <xf numFmtId="0" fontId="1" fillId="9" borderId="20" xfId="0" applyFont="1" applyFill="1" applyBorder="1" applyAlignment="1">
      <alignment horizontal="center" vertical="center" wrapText="1"/>
    </xf>
    <xf numFmtId="0" fontId="2" fillId="0" borderId="0" xfId="0" applyFont="1" applyAlignment="1">
      <alignment horizontal="right" indent="1"/>
    </xf>
    <xf numFmtId="0" fontId="16" fillId="0" borderId="0" xfId="0" applyFont="1" applyAlignment="1">
      <alignment vertical="center"/>
    </xf>
    <xf numFmtId="0" fontId="18" fillId="0" borderId="0" xfId="0" applyFont="1" applyAlignment="1">
      <alignment horizontal="right" vertical="center"/>
    </xf>
    <xf numFmtId="3" fontId="0" fillId="0" borderId="34" xfId="0" applyNumberFormat="1" applyBorder="1" applyAlignment="1">
      <alignment horizontal="right" vertical="center" indent="1"/>
    </xf>
    <xf numFmtId="3" fontId="0" fillId="0" borderId="2" xfId="0" applyNumberFormat="1" applyBorder="1" applyAlignment="1">
      <alignment horizontal="right" vertical="center" indent="1"/>
    </xf>
    <xf numFmtId="3" fontId="0" fillId="0" borderId="35" xfId="0" applyNumberFormat="1" applyBorder="1" applyAlignment="1">
      <alignment horizontal="right" vertical="center" indent="1"/>
    </xf>
    <xf numFmtId="0" fontId="0" fillId="0" borderId="0" xfId="0" applyAlignment="1">
      <alignment horizontal="left"/>
    </xf>
    <xf numFmtId="0" fontId="1" fillId="9" borderId="44" xfId="0" applyFont="1" applyFill="1" applyBorder="1" applyAlignment="1">
      <alignment horizontal="left" vertical="center"/>
    </xf>
    <xf numFmtId="0" fontId="1" fillId="2" borderId="1" xfId="0" applyFont="1" applyFill="1" applyBorder="1" applyAlignment="1">
      <alignment horizontal="center"/>
    </xf>
    <xf numFmtId="0" fontId="1" fillId="12" borderId="19" xfId="0" applyFont="1" applyFill="1" applyBorder="1" applyAlignment="1">
      <alignment horizontal="center" vertical="center"/>
    </xf>
    <xf numFmtId="0" fontId="0" fillId="4" borderId="47" xfId="0" applyFill="1" applyBorder="1" applyAlignment="1" applyProtection="1">
      <alignment horizontal="center"/>
      <protection locked="0"/>
    </xf>
    <xf numFmtId="0" fontId="0" fillId="4" borderId="41" xfId="0" applyFill="1" applyBorder="1" applyAlignment="1" applyProtection="1">
      <alignment horizontal="center"/>
      <protection locked="0"/>
    </xf>
    <xf numFmtId="0" fontId="0" fillId="0" borderId="33" xfId="0" applyBorder="1" applyAlignment="1">
      <alignment vertical="center"/>
    </xf>
    <xf numFmtId="0" fontId="0" fillId="0" borderId="22" xfId="0" applyBorder="1" applyAlignment="1">
      <alignment vertical="center"/>
    </xf>
    <xf numFmtId="0" fontId="1" fillId="9" borderId="44" xfId="0" applyFont="1" applyFill="1" applyBorder="1" applyAlignment="1">
      <alignment horizontal="center" vertical="center"/>
    </xf>
    <xf numFmtId="0" fontId="1" fillId="9" borderId="29" xfId="0" applyFont="1" applyFill="1" applyBorder="1" applyAlignment="1">
      <alignment horizontal="center" vertical="center"/>
    </xf>
    <xf numFmtId="0" fontId="1" fillId="9" borderId="58" xfId="0" applyFont="1" applyFill="1" applyBorder="1" applyAlignment="1">
      <alignment horizontal="center" vertical="center"/>
    </xf>
    <xf numFmtId="0" fontId="1" fillId="9" borderId="39" xfId="0" applyFont="1" applyFill="1" applyBorder="1" applyAlignment="1">
      <alignment horizontal="center" vertical="center"/>
    </xf>
    <xf numFmtId="0" fontId="1" fillId="9" borderId="40" xfId="0" applyFont="1" applyFill="1" applyBorder="1" applyAlignment="1">
      <alignment horizontal="center" vertical="center"/>
    </xf>
    <xf numFmtId="0" fontId="1" fillId="9" borderId="19" xfId="0" applyFont="1" applyFill="1" applyBorder="1" applyAlignment="1">
      <alignment horizontal="left" vertical="center"/>
    </xf>
    <xf numFmtId="0" fontId="19" fillId="0" borderId="8" xfId="0" applyFont="1" applyBorder="1" applyAlignment="1">
      <alignment horizontal="left" vertical="center"/>
    </xf>
    <xf numFmtId="0" fontId="1" fillId="9" borderId="8" xfId="0" applyFont="1" applyFill="1" applyBorder="1" applyAlignment="1">
      <alignment horizontal="center" vertical="center" wrapText="1"/>
    </xf>
    <xf numFmtId="0" fontId="1" fillId="12" borderId="1" xfId="0" applyFont="1" applyFill="1" applyBorder="1" applyAlignment="1">
      <alignment horizontal="center" vertical="center"/>
    </xf>
    <xf numFmtId="0" fontId="24" fillId="0" borderId="0" xfId="0" applyFont="1"/>
    <xf numFmtId="1" fontId="0" fillId="3" borderId="8" xfId="0" applyNumberFormat="1" applyFill="1" applyBorder="1" applyAlignment="1" applyProtection="1">
      <alignment horizontal="center" vertical="center"/>
      <protection locked="0"/>
    </xf>
    <xf numFmtId="0" fontId="1" fillId="2" borderId="0" xfId="0" applyFont="1" applyFill="1" applyAlignment="1">
      <alignment horizontal="center" vertical="center" wrapText="1"/>
    </xf>
    <xf numFmtId="3" fontId="0" fillId="0" borderId="54" xfId="0" applyNumberFormat="1" applyBorder="1" applyAlignment="1">
      <alignment horizontal="right" vertical="center" indent="1"/>
    </xf>
    <xf numFmtId="3" fontId="0" fillId="0" borderId="51" xfId="0" applyNumberFormat="1" applyBorder="1" applyAlignment="1">
      <alignment horizontal="right" vertical="center" indent="1"/>
    </xf>
    <xf numFmtId="3" fontId="0" fillId="0" borderId="59" xfId="0" applyNumberFormat="1" applyBorder="1" applyAlignment="1">
      <alignment horizontal="right" vertical="center" indent="1"/>
    </xf>
    <xf numFmtId="166" fontId="0" fillId="0" borderId="54" xfId="0" applyNumberFormat="1" applyBorder="1" applyAlignment="1">
      <alignment horizontal="right" vertical="center" indent="1"/>
    </xf>
    <xf numFmtId="166" fontId="0" fillId="0" borderId="45" xfId="0" applyNumberFormat="1" applyBorder="1" applyAlignment="1">
      <alignment horizontal="right" vertical="center" indent="1"/>
    </xf>
    <xf numFmtId="166" fontId="0" fillId="0" borderId="61" xfId="0" applyNumberFormat="1" applyBorder="1" applyAlignment="1">
      <alignment horizontal="right" vertical="center" indent="1"/>
    </xf>
    <xf numFmtId="166" fontId="0" fillId="0" borderId="56" xfId="0" applyNumberFormat="1" applyBorder="1" applyAlignment="1">
      <alignment horizontal="right" vertical="center" indent="1"/>
    </xf>
    <xf numFmtId="0" fontId="22" fillId="0" borderId="21" xfId="0" applyFont="1" applyBorder="1" applyAlignment="1">
      <alignment horizontal="left" vertical="center" indent="1"/>
    </xf>
    <xf numFmtId="0" fontId="2" fillId="0" borderId="23" xfId="0" applyFont="1" applyBorder="1"/>
    <xf numFmtId="0" fontId="2" fillId="0" borderId="21" xfId="0" applyFont="1" applyBorder="1"/>
    <xf numFmtId="0" fontId="19" fillId="0" borderId="55" xfId="0" applyFont="1" applyBorder="1" applyAlignment="1">
      <alignment horizontal="left" vertical="center" indent="1"/>
    </xf>
    <xf numFmtId="0" fontId="22" fillId="0" borderId="25" xfId="0" applyFont="1" applyBorder="1" applyAlignment="1">
      <alignment horizontal="left" vertical="center" indent="1"/>
    </xf>
    <xf numFmtId="166" fontId="0" fillId="0" borderId="21" xfId="0" applyNumberFormat="1" applyBorder="1" applyAlignment="1">
      <alignment horizontal="right" vertical="center" indent="1"/>
    </xf>
    <xf numFmtId="5" fontId="0" fillId="5" borderId="50" xfId="0" applyNumberFormat="1" applyFill="1" applyBorder="1"/>
    <xf numFmtId="5" fontId="0" fillId="5" borderId="1" xfId="0" applyNumberFormat="1" applyFill="1" applyBorder="1"/>
    <xf numFmtId="5" fontId="0" fillId="5" borderId="0" xfId="0" applyNumberFormat="1" applyFill="1"/>
    <xf numFmtId="5" fontId="0" fillId="0" borderId="30" xfId="0" applyNumberFormat="1" applyBorder="1" applyAlignment="1">
      <alignment horizontal="right" vertical="center" indent="1"/>
    </xf>
    <xf numFmtId="0" fontId="0" fillId="3" borderId="44" xfId="0" applyFill="1" applyBorder="1"/>
    <xf numFmtId="0" fontId="0" fillId="3" borderId="48" xfId="0" applyFill="1" applyBorder="1"/>
    <xf numFmtId="0" fontId="0" fillId="3" borderId="29" xfId="0" applyFill="1" applyBorder="1"/>
    <xf numFmtId="166" fontId="0" fillId="0" borderId="60" xfId="0" applyNumberFormat="1" applyBorder="1" applyAlignment="1">
      <alignment horizontal="right" vertical="center" indent="1"/>
    </xf>
    <xf numFmtId="0" fontId="1" fillId="9" borderId="51" xfId="0" applyFont="1" applyFill="1" applyBorder="1" applyAlignment="1">
      <alignment horizontal="center" vertical="center" wrapText="1"/>
    </xf>
    <xf numFmtId="0" fontId="1" fillId="9" borderId="45" xfId="0" applyFont="1" applyFill="1" applyBorder="1" applyAlignment="1">
      <alignment horizontal="center" vertical="center" wrapText="1"/>
    </xf>
    <xf numFmtId="0" fontId="1" fillId="9" borderId="57" xfId="0" applyFont="1" applyFill="1" applyBorder="1" applyAlignment="1">
      <alignment horizontal="center" vertical="center" wrapText="1"/>
    </xf>
    <xf numFmtId="0" fontId="25" fillId="5" borderId="0" xfId="0" applyFont="1" applyFill="1"/>
    <xf numFmtId="165" fontId="18" fillId="5" borderId="0" xfId="0" applyNumberFormat="1" applyFont="1" applyFill="1" applyAlignment="1">
      <alignment vertical="center"/>
    </xf>
    <xf numFmtId="0" fontId="20" fillId="5" borderId="0" xfId="2" applyFont="1" applyFill="1" applyProtection="1"/>
    <xf numFmtId="1" fontId="0" fillId="13" borderId="8" xfId="0" applyNumberFormat="1" applyFill="1" applyBorder="1" applyAlignment="1">
      <alignment horizontal="center" vertical="center"/>
    </xf>
    <xf numFmtId="3" fontId="0" fillId="14" borderId="10" xfId="0" applyNumberFormat="1" applyFill="1" applyBorder="1" applyAlignment="1">
      <alignment horizontal="center" vertical="center"/>
    </xf>
    <xf numFmtId="0" fontId="17" fillId="0" borderId="0" xfId="0" applyFont="1" applyAlignment="1">
      <alignment horizontal="center" vertical="center" wrapText="1"/>
    </xf>
    <xf numFmtId="0" fontId="17" fillId="0" borderId="24" xfId="0" applyFont="1" applyBorder="1" applyAlignment="1">
      <alignment wrapText="1"/>
    </xf>
    <xf numFmtId="1" fontId="0" fillId="13" borderId="8" xfId="0" applyNumberFormat="1" applyFill="1" applyBorder="1" applyAlignment="1" applyProtection="1">
      <alignment horizontal="center" vertical="center"/>
      <protection locked="0"/>
    </xf>
    <xf numFmtId="1" fontId="0" fillId="13" borderId="9" xfId="0" applyNumberFormat="1" applyFill="1" applyBorder="1" applyAlignment="1" applyProtection="1">
      <alignment horizontal="center" vertical="center"/>
      <protection locked="0"/>
    </xf>
    <xf numFmtId="1" fontId="0" fillId="13" borderId="1" xfId="0" applyNumberFormat="1" applyFill="1" applyBorder="1" applyAlignment="1" applyProtection="1">
      <alignment horizontal="center" vertical="center"/>
      <protection locked="0"/>
    </xf>
    <xf numFmtId="3" fontId="0" fillId="13" borderId="9" xfId="0" applyNumberFormat="1" applyFill="1" applyBorder="1" applyAlignment="1" applyProtection="1">
      <alignment horizontal="center" vertical="center"/>
      <protection locked="0"/>
    </xf>
    <xf numFmtId="3" fontId="0" fillId="14" borderId="16" xfId="0" applyNumberFormat="1" applyFill="1" applyBorder="1" applyAlignment="1">
      <alignment horizontal="center" vertical="center"/>
    </xf>
    <xf numFmtId="1" fontId="0" fillId="13" borderId="16" xfId="0" applyNumberFormat="1" applyFill="1" applyBorder="1" applyAlignment="1" applyProtection="1">
      <alignment horizontal="center" vertical="center"/>
      <protection locked="0"/>
    </xf>
    <xf numFmtId="1" fontId="0" fillId="13" borderId="22" xfId="0" applyNumberFormat="1" applyFill="1" applyBorder="1" applyAlignment="1" applyProtection="1">
      <alignment horizontal="center" vertical="center"/>
      <protection locked="0"/>
    </xf>
    <xf numFmtId="1" fontId="0" fillId="14" borderId="22" xfId="0" applyNumberFormat="1" applyFill="1" applyBorder="1" applyAlignment="1" applyProtection="1">
      <alignment horizontal="center" vertical="center"/>
      <protection locked="0"/>
    </xf>
    <xf numFmtId="1" fontId="0" fillId="14" borderId="1" xfId="0" applyNumberFormat="1" applyFill="1" applyBorder="1" applyAlignment="1" applyProtection="1">
      <alignment horizontal="center" vertical="center"/>
      <protection locked="0"/>
    </xf>
    <xf numFmtId="0" fontId="0" fillId="5" borderId="24" xfId="0" applyFill="1" applyBorder="1"/>
    <xf numFmtId="0" fontId="7" fillId="5" borderId="0" xfId="2" applyFill="1" applyBorder="1" applyAlignment="1" applyProtection="1">
      <alignment vertical="center"/>
    </xf>
    <xf numFmtId="0" fontId="2" fillId="5" borderId="0" xfId="0" applyFont="1" applyFill="1" applyAlignment="1">
      <alignment vertical="center"/>
    </xf>
    <xf numFmtId="0" fontId="2" fillId="5" borderId="0" xfId="0" applyFont="1" applyFill="1"/>
    <xf numFmtId="7" fontId="0" fillId="5" borderId="0" xfId="1" applyNumberFormat="1" applyFont="1" applyFill="1" applyBorder="1" applyAlignment="1" applyProtection="1">
      <alignment horizontal="right" vertical="center" indent="1"/>
      <protection locked="0"/>
    </xf>
    <xf numFmtId="0" fontId="2" fillId="0" borderId="1" xfId="0" applyFont="1" applyBorder="1"/>
    <xf numFmtId="0" fontId="2" fillId="0" borderId="1" xfId="0" applyFont="1" applyBorder="1" applyAlignment="1">
      <alignment vertical="center" wrapText="1"/>
    </xf>
    <xf numFmtId="0" fontId="2" fillId="5" borderId="1" xfId="0" applyFont="1" applyFill="1" applyBorder="1" applyAlignment="1">
      <alignment wrapText="1"/>
    </xf>
    <xf numFmtId="0" fontId="0" fillId="3" borderId="1" xfId="0" applyFill="1" applyBorder="1"/>
    <xf numFmtId="0" fontId="1" fillId="2" borderId="16" xfId="0" applyFont="1" applyFill="1" applyBorder="1" applyAlignment="1">
      <alignment horizontal="center" vertical="center" wrapText="1"/>
    </xf>
    <xf numFmtId="0" fontId="17" fillId="0" borderId="0" xfId="0" applyFont="1" applyAlignment="1">
      <alignment horizontal="right" wrapText="1"/>
    </xf>
    <xf numFmtId="0" fontId="1" fillId="15" borderId="0" xfId="0" applyFont="1" applyFill="1" applyAlignment="1">
      <alignment horizontal="center" vertical="center" wrapText="1"/>
    </xf>
    <xf numFmtId="3" fontId="0" fillId="0" borderId="22" xfId="0" applyNumberFormat="1" applyBorder="1" applyAlignment="1">
      <alignment horizontal="right" vertical="center" indent="1"/>
    </xf>
    <xf numFmtId="0" fontId="1" fillId="9" borderId="19" xfId="0" applyFont="1" applyFill="1" applyBorder="1" applyAlignment="1">
      <alignment horizontal="center" vertical="center" wrapText="1"/>
    </xf>
    <xf numFmtId="166" fontId="0" fillId="0" borderId="9" xfId="0" applyNumberFormat="1" applyBorder="1" applyAlignment="1">
      <alignment horizontal="right" indent="1"/>
    </xf>
    <xf numFmtId="5" fontId="0" fillId="0" borderId="10" xfId="0" applyNumberFormat="1" applyBorder="1"/>
    <xf numFmtId="0" fontId="1" fillId="2" borderId="1" xfId="0" applyFont="1" applyFill="1" applyBorder="1" applyAlignment="1">
      <alignment horizontal="center" wrapText="1"/>
    </xf>
    <xf numFmtId="1" fontId="0" fillId="13" borderId="16" xfId="0" applyNumberFormat="1" applyFill="1" applyBorder="1" applyAlignment="1">
      <alignment horizontal="center" vertical="center"/>
    </xf>
    <xf numFmtId="1" fontId="0" fillId="13" borderId="32" xfId="0" applyNumberFormat="1" applyFill="1" applyBorder="1" applyAlignment="1">
      <alignment horizontal="center" vertical="center"/>
    </xf>
    <xf numFmtId="3" fontId="0" fillId="13" borderId="30" xfId="0" applyNumberFormat="1" applyFill="1" applyBorder="1" applyAlignment="1" applyProtection="1">
      <alignment horizontal="center" vertical="center"/>
      <protection locked="0"/>
    </xf>
    <xf numFmtId="1" fontId="0" fillId="13" borderId="30" xfId="0" applyNumberFormat="1" applyFill="1" applyBorder="1" applyAlignment="1" applyProtection="1">
      <alignment horizontal="center" vertical="center"/>
      <protection locked="0"/>
    </xf>
    <xf numFmtId="3" fontId="0" fillId="14" borderId="31" xfId="0" applyNumberFormat="1" applyFill="1" applyBorder="1" applyAlignment="1">
      <alignment horizontal="center" vertical="center"/>
    </xf>
    <xf numFmtId="0" fontId="19" fillId="0" borderId="10" xfId="0" applyFont="1" applyBorder="1"/>
    <xf numFmtId="0" fontId="27" fillId="0" borderId="0" xfId="0" applyFont="1"/>
    <xf numFmtId="0" fontId="28" fillId="0" borderId="0" xfId="0" applyFont="1"/>
    <xf numFmtId="0" fontId="0" fillId="0" borderId="0" xfId="0" applyAlignment="1">
      <alignment wrapText="1"/>
    </xf>
    <xf numFmtId="0" fontId="20" fillId="0" borderId="0" xfId="2" applyFont="1" applyAlignment="1" applyProtection="1">
      <alignment wrapText="1"/>
    </xf>
    <xf numFmtId="10" fontId="18" fillId="0" borderId="0" xfId="3" applyNumberFormat="1" applyFont="1" applyAlignment="1" applyProtection="1">
      <alignment wrapText="1"/>
    </xf>
    <xf numFmtId="0" fontId="18" fillId="0" borderId="0" xfId="0" applyFont="1" applyAlignment="1">
      <alignment vertical="center" wrapText="1"/>
    </xf>
    <xf numFmtId="9" fontId="0" fillId="4" borderId="1" xfId="3" applyFont="1" applyFill="1" applyBorder="1" applyAlignment="1" applyProtection="1">
      <alignment vertical="center"/>
      <protection locked="0"/>
    </xf>
    <xf numFmtId="1" fontId="0" fillId="13" borderId="21" xfId="0" applyNumberFormat="1" applyFill="1" applyBorder="1" applyAlignment="1" applyProtection="1">
      <alignment horizontal="center" vertical="center"/>
      <protection locked="0"/>
    </xf>
    <xf numFmtId="0" fontId="2" fillId="7" borderId="1" xfId="0" applyFont="1" applyFill="1" applyBorder="1" applyAlignment="1">
      <alignment wrapText="1"/>
    </xf>
    <xf numFmtId="0" fontId="0" fillId="5" borderId="1" xfId="0" applyFill="1" applyBorder="1" applyAlignment="1">
      <alignment horizontal="center"/>
    </xf>
    <xf numFmtId="0" fontId="0" fillId="5" borderId="1" xfId="0" applyFill="1" applyBorder="1"/>
    <xf numFmtId="0" fontId="0" fillId="5" borderId="1" xfId="0" applyFill="1" applyBorder="1" applyAlignment="1">
      <alignment wrapText="1"/>
    </xf>
    <xf numFmtId="0" fontId="0" fillId="5" borderId="0" xfId="0" applyFill="1" applyAlignment="1">
      <alignment horizontal="center"/>
    </xf>
    <xf numFmtId="0" fontId="0" fillId="16" borderId="0" xfId="0" applyFill="1"/>
    <xf numFmtId="0" fontId="0" fillId="17" borderId="1" xfId="0" applyFill="1" applyBorder="1"/>
    <xf numFmtId="0" fontId="1" fillId="9" borderId="61" xfId="0" applyFont="1" applyFill="1" applyBorder="1" applyAlignment="1">
      <alignment vertical="center"/>
    </xf>
    <xf numFmtId="0" fontId="1" fillId="16" borderId="62" xfId="0" applyFont="1" applyFill="1" applyBorder="1" applyAlignment="1">
      <alignment vertical="center" wrapText="1"/>
    </xf>
    <xf numFmtId="0" fontId="1" fillId="9" borderId="1" xfId="0" applyFont="1" applyFill="1" applyBorder="1" applyAlignment="1">
      <alignment horizontal="center" vertical="center"/>
    </xf>
    <xf numFmtId="0" fontId="22" fillId="5" borderId="1" xfId="0" applyFont="1" applyFill="1" applyBorder="1" applyAlignment="1">
      <alignment horizontal="center" vertical="center"/>
    </xf>
    <xf numFmtId="0" fontId="22" fillId="5" borderId="1" xfId="0" applyFont="1" applyFill="1" applyBorder="1" applyAlignment="1">
      <alignment horizontal="center" vertical="center" wrapText="1"/>
    </xf>
    <xf numFmtId="0" fontId="1" fillId="12" borderId="38" xfId="0" applyFont="1" applyFill="1" applyBorder="1" applyAlignment="1">
      <alignment horizontal="center" vertical="center"/>
    </xf>
    <xf numFmtId="0" fontId="1" fillId="12" borderId="40" xfId="0" applyFont="1" applyFill="1" applyBorder="1" applyAlignment="1">
      <alignment horizontal="center" vertical="center"/>
    </xf>
    <xf numFmtId="9" fontId="0" fillId="4" borderId="19" xfId="0" applyNumberFormat="1" applyFill="1" applyBorder="1" applyProtection="1">
      <protection locked="0"/>
    </xf>
    <xf numFmtId="9" fontId="0" fillId="4" borderId="33" xfId="0" applyNumberFormat="1" applyFill="1" applyBorder="1" applyProtection="1">
      <protection locked="0"/>
    </xf>
    <xf numFmtId="9" fontId="0" fillId="4" borderId="20" xfId="0" applyNumberFormat="1" applyFill="1" applyBorder="1" applyProtection="1">
      <protection locked="0"/>
    </xf>
    <xf numFmtId="9" fontId="0" fillId="4" borderId="8" xfId="0" applyNumberFormat="1" applyFill="1" applyBorder="1" applyProtection="1">
      <protection locked="0"/>
    </xf>
    <xf numFmtId="9" fontId="0" fillId="4" borderId="1" xfId="0" applyNumberFormat="1" applyFill="1" applyBorder="1" applyProtection="1">
      <protection locked="0"/>
    </xf>
    <xf numFmtId="9" fontId="0" fillId="4" borderId="9" xfId="0" applyNumberFormat="1" applyFill="1" applyBorder="1" applyProtection="1">
      <protection locked="0"/>
    </xf>
    <xf numFmtId="9" fontId="0" fillId="4" borderId="10" xfId="0" applyNumberFormat="1" applyFill="1" applyBorder="1" applyProtection="1">
      <protection locked="0"/>
    </xf>
    <xf numFmtId="9" fontId="0" fillId="4" borderId="22" xfId="0" applyNumberFormat="1" applyFill="1" applyBorder="1" applyProtection="1">
      <protection locked="0"/>
    </xf>
    <xf numFmtId="9" fontId="0" fillId="4" borderId="5" xfId="0" applyNumberFormat="1" applyFill="1" applyBorder="1" applyProtection="1">
      <protection locked="0"/>
    </xf>
    <xf numFmtId="165" fontId="0" fillId="5" borderId="1" xfId="0" applyNumberFormat="1" applyFill="1" applyBorder="1" applyAlignment="1">
      <alignment vertical="center"/>
    </xf>
    <xf numFmtId="3" fontId="0" fillId="0" borderId="1" xfId="0" applyNumberFormat="1" applyBorder="1" applyAlignment="1">
      <alignment vertical="center"/>
    </xf>
    <xf numFmtId="3" fontId="0" fillId="4" borderId="1" xfId="0" applyNumberFormat="1" applyFill="1" applyBorder="1" applyAlignment="1" applyProtection="1">
      <alignment vertical="center"/>
      <protection locked="0"/>
    </xf>
    <xf numFmtId="10" fontId="22" fillId="5" borderId="0" xfId="0" applyNumberFormat="1" applyFont="1" applyFill="1" applyAlignment="1">
      <alignment horizontal="center"/>
    </xf>
    <xf numFmtId="9" fontId="18" fillId="0" borderId="0" xfId="0" applyNumberFormat="1" applyFont="1" applyAlignment="1">
      <alignment horizontal="left" vertical="center"/>
    </xf>
    <xf numFmtId="0" fontId="14" fillId="0" borderId="0" xfId="0" applyFont="1" applyAlignment="1">
      <alignment horizontal="left"/>
    </xf>
    <xf numFmtId="164" fontId="18" fillId="0" borderId="0" xfId="0" applyNumberFormat="1" applyFont="1" applyAlignment="1">
      <alignment horizontal="left" vertical="center"/>
    </xf>
    <xf numFmtId="165" fontId="18" fillId="0" borderId="0" xfId="0" applyNumberFormat="1" applyFont="1" applyAlignment="1">
      <alignment horizontal="left" vertical="center"/>
    </xf>
    <xf numFmtId="0" fontId="10" fillId="8" borderId="11" xfId="0" applyFont="1" applyFill="1" applyBorder="1" applyAlignment="1">
      <alignment horizontal="left"/>
    </xf>
    <xf numFmtId="0" fontId="10" fillId="8" borderId="12" xfId="0" applyFont="1" applyFill="1" applyBorder="1" applyAlignment="1">
      <alignment horizontal="left"/>
    </xf>
    <xf numFmtId="0" fontId="1" fillId="2" borderId="1" xfId="0" applyFont="1" applyFill="1" applyBorder="1" applyAlignment="1">
      <alignment horizontal="center"/>
    </xf>
    <xf numFmtId="0" fontId="1" fillId="8" borderId="0" xfId="0" applyFont="1" applyFill="1" applyAlignment="1">
      <alignment horizontal="left"/>
    </xf>
    <xf numFmtId="0" fontId="0" fillId="0" borderId="0" xfId="0" applyAlignment="1">
      <alignment horizontal="left" wrapText="1"/>
    </xf>
    <xf numFmtId="0" fontId="17" fillId="0" borderId="13" xfId="0" applyFont="1" applyBorder="1" applyAlignment="1">
      <alignment horizontal="center"/>
    </xf>
    <xf numFmtId="0" fontId="2" fillId="0" borderId="24" xfId="0" applyFont="1" applyBorder="1" applyAlignment="1">
      <alignment horizontal="center"/>
    </xf>
    <xf numFmtId="0" fontId="19" fillId="0" borderId="53" xfId="0" applyFont="1" applyBorder="1" applyAlignment="1">
      <alignment horizontal="center"/>
    </xf>
    <xf numFmtId="0" fontId="18" fillId="0" borderId="0" xfId="0" applyFont="1" applyAlignment="1">
      <alignment horizontal="left" vertical="top" wrapText="1"/>
    </xf>
    <xf numFmtId="0" fontId="20" fillId="0" borderId="0" xfId="2" applyFont="1" applyAlignment="1" applyProtection="1">
      <alignment horizontal="left" wrapText="1"/>
    </xf>
    <xf numFmtId="165" fontId="0" fillId="4" borderId="4" xfId="0" applyNumberFormat="1" applyFill="1" applyBorder="1" applyAlignment="1" applyProtection="1">
      <alignment horizontal="center"/>
      <protection locked="0"/>
    </xf>
    <xf numFmtId="165" fontId="0" fillId="4" borderId="60" xfId="0" applyNumberFormat="1" applyFill="1" applyBorder="1" applyAlignment="1" applyProtection="1">
      <alignment horizontal="center"/>
      <protection locked="0"/>
    </xf>
    <xf numFmtId="165" fontId="0" fillId="4" borderId="16" xfId="0" applyNumberFormat="1" applyFill="1" applyBorder="1" applyAlignment="1" applyProtection="1">
      <alignment horizontal="center"/>
      <protection locked="0"/>
    </xf>
    <xf numFmtId="10" fontId="25" fillId="5" borderId="0" xfId="0" applyNumberFormat="1" applyFont="1" applyFill="1" applyAlignment="1">
      <alignment horizontal="center"/>
    </xf>
    <xf numFmtId="0" fontId="0" fillId="0" borderId="19" xfId="0" applyBorder="1" applyAlignment="1">
      <alignment horizontal="center" vertical="center"/>
    </xf>
    <xf numFmtId="0" fontId="0" fillId="0" borderId="10" xfId="0" applyBorder="1" applyAlignment="1">
      <alignment horizontal="center" vertical="center"/>
    </xf>
    <xf numFmtId="0" fontId="0" fillId="0" borderId="19" xfId="0" applyBorder="1" applyAlignment="1">
      <alignment horizontal="center" vertical="center" wrapText="1"/>
    </xf>
    <xf numFmtId="0" fontId="0" fillId="0" borderId="8" xfId="0" applyBorder="1" applyAlignment="1">
      <alignment horizontal="center" vertical="center" wrapText="1"/>
    </xf>
    <xf numFmtId="0" fontId="0" fillId="0" borderId="10" xfId="0" applyBorder="1" applyAlignment="1">
      <alignment horizontal="center" vertical="center" wrapText="1"/>
    </xf>
    <xf numFmtId="0" fontId="1" fillId="9" borderId="44" xfId="0" applyFont="1" applyFill="1" applyBorder="1" applyAlignment="1">
      <alignment horizontal="center" vertical="center"/>
    </xf>
    <xf numFmtId="0" fontId="1" fillId="9" borderId="18" xfId="0" applyFont="1" applyFill="1" applyBorder="1" applyAlignment="1">
      <alignment horizontal="center" vertical="center"/>
    </xf>
    <xf numFmtId="0" fontId="1" fillId="9" borderId="26" xfId="0" applyFont="1" applyFill="1" applyBorder="1" applyAlignment="1">
      <alignment horizontal="center" vertical="center"/>
    </xf>
    <xf numFmtId="0" fontId="1" fillId="9" borderId="27" xfId="0" applyFont="1" applyFill="1" applyBorder="1" applyAlignment="1">
      <alignment horizontal="center" vertical="center"/>
    </xf>
    <xf numFmtId="0" fontId="0" fillId="5" borderId="34" xfId="0" applyFill="1" applyBorder="1" applyAlignment="1">
      <alignment horizontal="left"/>
    </xf>
    <xf numFmtId="0" fontId="0" fillId="5" borderId="2" xfId="0" applyFill="1" applyBorder="1" applyAlignment="1">
      <alignment horizontal="left"/>
    </xf>
    <xf numFmtId="0" fontId="0" fillId="5" borderId="8" xfId="0" applyFill="1" applyBorder="1" applyAlignment="1">
      <alignment horizontal="left"/>
    </xf>
    <xf numFmtId="0" fontId="0" fillId="5" borderId="1" xfId="0" applyFill="1" applyBorder="1" applyAlignment="1">
      <alignment horizontal="left"/>
    </xf>
    <xf numFmtId="0" fontId="0" fillId="0" borderId="33" xfId="0" applyBorder="1" applyAlignment="1">
      <alignment horizontal="left" vertical="center"/>
    </xf>
    <xf numFmtId="0" fontId="0" fillId="0" borderId="1" xfId="0" applyBorder="1" applyAlignment="1">
      <alignment horizontal="left" vertical="center"/>
    </xf>
    <xf numFmtId="0" fontId="23" fillId="0" borderId="0" xfId="0" applyFont="1" applyAlignment="1">
      <alignment horizontal="left" vertical="center"/>
    </xf>
    <xf numFmtId="0" fontId="23" fillId="0" borderId="0" xfId="0" applyFont="1" applyAlignment="1">
      <alignment horizontal="center" vertical="center" wrapText="1"/>
    </xf>
    <xf numFmtId="0" fontId="23" fillId="0" borderId="50" xfId="0" applyFont="1" applyBorder="1" applyAlignment="1">
      <alignment horizontal="center" vertical="center"/>
    </xf>
    <xf numFmtId="0" fontId="23" fillId="0" borderId="0" xfId="0" applyFont="1" applyAlignment="1">
      <alignment horizontal="center" vertical="center"/>
    </xf>
    <xf numFmtId="0" fontId="1" fillId="2" borderId="50" xfId="0" applyFont="1" applyFill="1" applyBorder="1" applyAlignment="1">
      <alignment horizontal="center" vertical="center" wrapText="1"/>
    </xf>
    <xf numFmtId="0" fontId="1" fillId="2" borderId="0" xfId="0" applyFont="1" applyFill="1" applyAlignment="1">
      <alignment horizontal="center" vertical="center" wrapText="1"/>
    </xf>
    <xf numFmtId="0" fontId="1" fillId="2" borderId="49" xfId="0" applyFont="1" applyFill="1" applyBorder="1" applyAlignment="1">
      <alignment horizontal="center" vertical="center" wrapText="1"/>
    </xf>
    <xf numFmtId="0" fontId="0" fillId="5" borderId="62" xfId="0" applyFill="1" applyBorder="1" applyAlignment="1">
      <alignment horizontal="left" vertical="top" wrapText="1"/>
    </xf>
    <xf numFmtId="0" fontId="0" fillId="5" borderId="63" xfId="0" applyFill="1" applyBorder="1" applyAlignment="1">
      <alignment horizontal="left" vertical="top" wrapText="1"/>
    </xf>
    <xf numFmtId="0" fontId="0" fillId="5" borderId="4" xfId="0" applyFill="1" applyBorder="1" applyAlignment="1">
      <alignment horizontal="left" vertical="top" wrapText="1"/>
    </xf>
    <xf numFmtId="0" fontId="0" fillId="5" borderId="16" xfId="0" applyFill="1" applyBorder="1" applyAlignment="1">
      <alignment horizontal="left" vertical="top" wrapText="1"/>
    </xf>
    <xf numFmtId="0" fontId="0" fillId="5" borderId="1" xfId="0" applyFill="1" applyBorder="1" applyAlignment="1">
      <alignment horizontal="left" vertical="top" wrapText="1"/>
    </xf>
    <xf numFmtId="0" fontId="1" fillId="16" borderId="16" xfId="0" applyFont="1" applyFill="1" applyBorder="1" applyAlignment="1">
      <alignment horizontal="center"/>
    </xf>
    <xf numFmtId="0" fontId="1" fillId="16" borderId="1" xfId="0" applyFont="1" applyFill="1" applyBorder="1" applyAlignment="1">
      <alignment horizontal="center"/>
    </xf>
    <xf numFmtId="0" fontId="1" fillId="16" borderId="1" xfId="0" applyFont="1" applyFill="1" applyBorder="1" applyAlignment="1">
      <alignment horizontal="left" vertical="center"/>
    </xf>
    <xf numFmtId="0" fontId="1" fillId="16" borderId="64" xfId="0" applyFont="1" applyFill="1" applyBorder="1" applyAlignment="1">
      <alignment horizontal="left" vertical="center"/>
    </xf>
    <xf numFmtId="0" fontId="0" fillId="5" borderId="2" xfId="0" applyFill="1" applyBorder="1" applyAlignment="1">
      <alignment horizontal="left" vertical="top" wrapText="1"/>
    </xf>
    <xf numFmtId="0" fontId="16" fillId="0" borderId="0" xfId="0" applyFont="1" applyAlignment="1">
      <alignment horizontal="left" wrapText="1"/>
    </xf>
    <xf numFmtId="0" fontId="1" fillId="16" borderId="60" xfId="0" applyFont="1" applyFill="1" applyBorder="1" applyAlignment="1">
      <alignment horizontal="center"/>
    </xf>
    <xf numFmtId="0" fontId="1" fillId="2" borderId="23" xfId="0" applyFont="1" applyFill="1" applyBorder="1" applyAlignment="1">
      <alignment horizontal="center" vertical="center" wrapText="1"/>
    </xf>
    <xf numFmtId="0" fontId="1" fillId="2" borderId="46" xfId="0" applyFont="1" applyFill="1" applyBorder="1" applyAlignment="1">
      <alignment horizontal="center" vertical="center" wrapText="1"/>
    </xf>
    <xf numFmtId="0" fontId="1" fillId="2" borderId="47" xfId="0" applyFont="1" applyFill="1" applyBorder="1" applyAlignment="1">
      <alignment horizontal="center" vertical="center" wrapText="1"/>
    </xf>
    <xf numFmtId="0" fontId="1" fillId="2" borderId="6" xfId="0" applyFont="1" applyFill="1" applyBorder="1" applyAlignment="1">
      <alignment horizontal="center" vertical="center" wrapText="1"/>
    </xf>
    <xf numFmtId="0" fontId="1" fillId="2" borderId="13" xfId="0" applyFont="1" applyFill="1" applyBorder="1" applyAlignment="1">
      <alignment horizontal="center" vertical="center" wrapText="1"/>
    </xf>
    <xf numFmtId="0" fontId="1" fillId="2" borderId="7" xfId="0" applyFont="1" applyFill="1" applyBorder="1" applyAlignment="1">
      <alignment horizontal="center" vertical="center" wrapText="1"/>
    </xf>
    <xf numFmtId="0" fontId="17" fillId="0" borderId="0" xfId="0" applyFont="1" applyAlignment="1">
      <alignment horizontal="center" vertical="top" wrapText="1"/>
    </xf>
    <xf numFmtId="9" fontId="0" fillId="4" borderId="5" xfId="3" applyFont="1" applyFill="1" applyBorder="1" applyAlignment="1" applyProtection="1">
      <alignment horizontal="center"/>
    </xf>
    <xf numFmtId="9" fontId="0" fillId="4" borderId="22" xfId="3" applyFont="1" applyFill="1" applyBorder="1" applyAlignment="1" applyProtection="1">
      <alignment horizontal="center"/>
    </xf>
    <xf numFmtId="1" fontId="0" fillId="14" borderId="48" xfId="1" applyNumberFormat="1" applyFont="1" applyFill="1" applyBorder="1" applyAlignment="1" applyProtection="1">
      <alignment horizontal="center" vertical="center"/>
    </xf>
    <xf numFmtId="7" fontId="0" fillId="5" borderId="20" xfId="1" applyNumberFormat="1" applyFont="1" applyFill="1" applyBorder="1" applyAlignment="1" applyProtection="1">
      <alignment horizontal="right" vertical="center" indent="1"/>
    </xf>
    <xf numFmtId="7" fontId="0" fillId="5" borderId="5" xfId="1" applyNumberFormat="1" applyFont="1" applyFill="1" applyBorder="1" applyAlignment="1" applyProtection="1">
      <alignment horizontal="right" vertical="center" indent="1"/>
    </xf>
    <xf numFmtId="7" fontId="0" fillId="5" borderId="9" xfId="1" applyNumberFormat="1" applyFont="1" applyFill="1" applyBorder="1" applyAlignment="1" applyProtection="1">
      <alignment horizontal="right" vertical="center" indent="1"/>
    </xf>
    <xf numFmtId="7" fontId="0" fillId="14" borderId="20" xfId="1" applyNumberFormat="1" applyFont="1" applyFill="1" applyBorder="1" applyAlignment="1" applyProtection="1">
      <alignment horizontal="right" vertical="center" indent="1"/>
    </xf>
    <xf numFmtId="7" fontId="0" fillId="5" borderId="30" xfId="1" applyNumberFormat="1" applyFont="1" applyFill="1" applyBorder="1" applyAlignment="1" applyProtection="1">
      <alignment horizontal="right" vertical="center" indent="1"/>
    </xf>
    <xf numFmtId="7" fontId="0" fillId="5" borderId="31" xfId="1" applyNumberFormat="1" applyFont="1" applyFill="1" applyBorder="1" applyAlignment="1" applyProtection="1">
      <alignment horizontal="right" vertical="center" indent="1"/>
    </xf>
    <xf numFmtId="0" fontId="0" fillId="5" borderId="2" xfId="0" applyFill="1" applyBorder="1" applyAlignment="1">
      <alignment horizontal="center" vertical="center"/>
    </xf>
    <xf numFmtId="0" fontId="0" fillId="17" borderId="2" xfId="0" applyFill="1" applyBorder="1" applyAlignment="1">
      <alignment horizontal="center" vertical="center"/>
    </xf>
    <xf numFmtId="0" fontId="0" fillId="5" borderId="1" xfId="0" applyFill="1" applyBorder="1" applyAlignment="1">
      <alignment horizontal="center" vertical="center"/>
    </xf>
    <xf numFmtId="0" fontId="0" fillId="17" borderId="1" xfId="0" applyFill="1" applyBorder="1" applyAlignment="1">
      <alignment horizontal="center" vertical="center"/>
    </xf>
    <xf numFmtId="0" fontId="0" fillId="0" borderId="0" xfId="0" applyAlignment="1">
      <alignment horizontal="center" vertical="center"/>
    </xf>
    <xf numFmtId="0" fontId="1" fillId="16" borderId="16" xfId="0" applyFont="1" applyFill="1" applyBorder="1" applyAlignment="1">
      <alignment horizontal="center" vertical="center"/>
    </xf>
    <xf numFmtId="0" fontId="1" fillId="16" borderId="1" xfId="0" applyFont="1" applyFill="1" applyBorder="1" applyAlignment="1">
      <alignment horizontal="center" vertical="center"/>
    </xf>
    <xf numFmtId="170" fontId="22" fillId="5" borderId="1" xfId="1" applyNumberFormat="1" applyFont="1" applyFill="1" applyBorder="1" applyAlignment="1">
      <alignment horizontal="center" vertical="center" wrapText="1"/>
    </xf>
    <xf numFmtId="0" fontId="0" fillId="5" borderId="19" xfId="0" applyFill="1" applyBorder="1"/>
    <xf numFmtId="0" fontId="0" fillId="5" borderId="8" xfId="0" applyFill="1" applyBorder="1"/>
    <xf numFmtId="0" fontId="0" fillId="5" borderId="10" xfId="0" applyFill="1" applyBorder="1"/>
    <xf numFmtId="0" fontId="2" fillId="5" borderId="0" xfId="0" applyFont="1" applyFill="1" applyAlignment="1">
      <alignment horizontal="center"/>
    </xf>
    <xf numFmtId="0" fontId="0" fillId="5" borderId="33" xfId="0" applyFill="1" applyBorder="1"/>
    <xf numFmtId="0" fontId="0" fillId="5" borderId="20" xfId="0" applyFill="1" applyBorder="1"/>
    <xf numFmtId="0" fontId="0" fillId="5" borderId="9" xfId="0" applyFill="1" applyBorder="1"/>
    <xf numFmtId="0" fontId="0" fillId="5" borderId="22" xfId="0" applyFill="1" applyBorder="1"/>
    <xf numFmtId="0" fontId="0" fillId="5" borderId="5" xfId="0" applyFill="1" applyBorder="1"/>
    <xf numFmtId="0" fontId="0" fillId="6" borderId="0" xfId="0" applyFill="1" applyProtection="1"/>
    <xf numFmtId="0" fontId="10" fillId="6" borderId="0" xfId="0" applyFont="1" applyFill="1" applyAlignment="1" applyProtection="1">
      <alignment vertical="center"/>
    </xf>
    <xf numFmtId="0" fontId="0" fillId="0" borderId="0" xfId="0" applyProtection="1"/>
    <xf numFmtId="0" fontId="2" fillId="0" borderId="0" xfId="0" applyFont="1" applyAlignment="1" applyProtection="1">
      <alignment horizontal="center"/>
    </xf>
    <xf numFmtId="0" fontId="18" fillId="0" borderId="0" xfId="0" applyFont="1" applyAlignment="1" applyProtection="1">
      <alignment horizontal="right"/>
    </xf>
    <xf numFmtId="0" fontId="0" fillId="0" borderId="0" xfId="0" applyAlignment="1" applyProtection="1">
      <alignment vertical="top" wrapText="1"/>
    </xf>
    <xf numFmtId="0" fontId="0" fillId="0" borderId="0" xfId="0" applyAlignment="1" applyProtection="1">
      <alignment vertical="center"/>
    </xf>
    <xf numFmtId="0" fontId="2" fillId="0" borderId="46" xfId="0" applyFont="1" applyBorder="1" applyProtection="1"/>
    <xf numFmtId="0" fontId="0" fillId="0" borderId="0" xfId="0" applyAlignment="1" applyProtection="1">
      <alignment vertical="center" wrapText="1"/>
    </xf>
    <xf numFmtId="0" fontId="2" fillId="0" borderId="46" xfId="0" applyFont="1" applyBorder="1" applyAlignment="1" applyProtection="1">
      <alignment vertical="center" wrapText="1"/>
    </xf>
    <xf numFmtId="0" fontId="0" fillId="5" borderId="0" xfId="0" applyFill="1" applyProtection="1"/>
    <xf numFmtId="0" fontId="0" fillId="5" borderId="0" xfId="0" applyFill="1" applyAlignment="1" applyProtection="1">
      <alignment vertical="center"/>
    </xf>
    <xf numFmtId="0" fontId="19" fillId="0" borderId="46" xfId="0" applyFont="1" applyBorder="1" applyAlignment="1" applyProtection="1">
      <alignment vertical="center"/>
    </xf>
    <xf numFmtId="0" fontId="0" fillId="0" borderId="0" xfId="0" applyAlignment="1" applyProtection="1">
      <alignment horizontal="right" vertical="center" indent="1"/>
    </xf>
    <xf numFmtId="0" fontId="16" fillId="0" borderId="0" xfId="0" applyFont="1" applyAlignment="1" applyProtection="1">
      <alignment horizontal="right" vertical="top" wrapText="1"/>
    </xf>
    <xf numFmtId="0" fontId="16" fillId="0" borderId="49" xfId="0" applyFont="1" applyBorder="1" applyAlignment="1" applyProtection="1">
      <alignment horizontal="right" vertical="top" wrapText="1"/>
    </xf>
    <xf numFmtId="0" fontId="0" fillId="4" borderId="10" xfId="0" applyFill="1" applyBorder="1" applyAlignment="1" applyProtection="1">
      <alignment horizontal="left"/>
    </xf>
    <xf numFmtId="0" fontId="0" fillId="4" borderId="22" xfId="0" applyFill="1" applyBorder="1" applyAlignment="1" applyProtection="1">
      <alignment horizontal="left"/>
    </xf>
    <xf numFmtId="0" fontId="0" fillId="4" borderId="41" xfId="0" applyFill="1" applyBorder="1" applyAlignment="1" applyProtection="1">
      <alignment horizontal="center"/>
    </xf>
    <xf numFmtId="7" fontId="0" fillId="4" borderId="30" xfId="1" applyNumberFormat="1" applyFont="1" applyFill="1" applyBorder="1" applyAlignment="1" applyProtection="1">
      <alignment horizontal="right" vertical="center" indent="1"/>
    </xf>
    <xf numFmtId="0" fontId="0" fillId="4" borderId="42" xfId="0" applyFill="1" applyBorder="1" applyAlignment="1" applyProtection="1">
      <alignment horizontal="center"/>
    </xf>
    <xf numFmtId="7" fontId="0" fillId="4" borderId="31" xfId="1" applyNumberFormat="1" applyFont="1" applyFill="1" applyBorder="1" applyAlignment="1" applyProtection="1">
      <alignment horizontal="right" vertical="center" indent="1"/>
    </xf>
    <xf numFmtId="9" fontId="0" fillId="4" borderId="8" xfId="3" applyFont="1" applyFill="1" applyBorder="1" applyAlignment="1" applyProtection="1">
      <alignment horizontal="center"/>
    </xf>
    <xf numFmtId="9" fontId="0" fillId="4" borderId="1" xfId="3" applyFont="1" applyFill="1" applyBorder="1" applyAlignment="1" applyProtection="1">
      <alignment horizontal="center"/>
    </xf>
    <xf numFmtId="9" fontId="0" fillId="4" borderId="9" xfId="3" applyFont="1" applyFill="1" applyBorder="1" applyAlignment="1" applyProtection="1">
      <alignment horizontal="center"/>
    </xf>
    <xf numFmtId="9" fontId="0" fillId="4" borderId="10" xfId="3" applyFont="1" applyFill="1" applyBorder="1" applyAlignment="1" applyProtection="1">
      <alignment horizontal="center"/>
    </xf>
    <xf numFmtId="1" fontId="0" fillId="4" borderId="13" xfId="1" applyNumberFormat="1" applyFont="1" applyFill="1" applyBorder="1" applyAlignment="1" applyProtection="1">
      <alignment horizontal="center" vertical="center"/>
    </xf>
    <xf numFmtId="7" fontId="0" fillId="4" borderId="6" xfId="1" applyNumberFormat="1" applyFont="1" applyFill="1" applyBorder="1" applyAlignment="1" applyProtection="1">
      <alignment horizontal="right" vertical="center" indent="1"/>
    </xf>
    <xf numFmtId="1" fontId="0" fillId="4" borderId="53" xfId="1" applyNumberFormat="1" applyFont="1" applyFill="1" applyBorder="1" applyAlignment="1" applyProtection="1">
      <alignment horizontal="center" vertical="center"/>
    </xf>
    <xf numFmtId="7" fontId="0" fillId="4" borderId="25" xfId="1" applyNumberFormat="1" applyFont="1" applyFill="1" applyBorder="1" applyAlignment="1" applyProtection="1">
      <alignment horizontal="right" vertical="center" indent="1"/>
    </xf>
    <xf numFmtId="1" fontId="0" fillId="4" borderId="7" xfId="1" applyNumberFormat="1" applyFont="1" applyFill="1" applyBorder="1" applyAlignment="1" applyProtection="1">
      <alignment horizontal="center" vertical="center"/>
    </xf>
    <xf numFmtId="1" fontId="0" fillId="4" borderId="41" xfId="1" applyNumberFormat="1" applyFont="1" applyFill="1" applyBorder="1" applyAlignment="1" applyProtection="1">
      <alignment horizontal="center" vertical="center"/>
    </xf>
    <xf numFmtId="7" fontId="0" fillId="4" borderId="23" xfId="1" applyNumberFormat="1" applyFont="1" applyFill="1" applyBorder="1" applyAlignment="1" applyProtection="1">
      <alignment horizontal="right" vertical="center" indent="1"/>
    </xf>
    <xf numFmtId="1" fontId="0" fillId="4" borderId="42" xfId="1" applyNumberFormat="1" applyFont="1" applyFill="1" applyBorder="1" applyAlignment="1" applyProtection="1">
      <alignment horizontal="center" vertical="center"/>
    </xf>
    <xf numFmtId="7" fontId="0" fillId="4" borderId="65" xfId="1" applyNumberFormat="1" applyFont="1" applyFill="1" applyBorder="1" applyAlignment="1" applyProtection="1">
      <alignment horizontal="right" vertical="center" indent="1"/>
    </xf>
    <xf numFmtId="0" fontId="0" fillId="14" borderId="44" xfId="0" applyFill="1" applyBorder="1" applyProtection="1"/>
    <xf numFmtId="0" fontId="0" fillId="4" borderId="53" xfId="0" applyFill="1" applyBorder="1" applyAlignment="1" applyProtection="1">
      <alignment horizontal="center"/>
    </xf>
    <xf numFmtId="8" fontId="0" fillId="4" borderId="25" xfId="0" applyNumberFormat="1" applyFill="1" applyBorder="1" applyProtection="1"/>
    <xf numFmtId="9" fontId="0" fillId="4" borderId="52" xfId="3" applyFont="1" applyFill="1" applyBorder="1" applyAlignment="1" applyProtection="1">
      <alignment horizontal="center"/>
    </xf>
    <xf numFmtId="9" fontId="0" fillId="4" borderId="33" xfId="3" applyFont="1" applyFill="1" applyBorder="1" applyAlignment="1" applyProtection="1">
      <alignment horizontal="center"/>
    </xf>
    <xf numFmtId="9" fontId="0" fillId="4" borderId="20" xfId="3" applyFont="1" applyFill="1" applyBorder="1" applyAlignment="1" applyProtection="1">
      <alignment horizontal="center"/>
    </xf>
    <xf numFmtId="9" fontId="0" fillId="4" borderId="17" xfId="3" applyFont="1" applyFill="1" applyBorder="1" applyAlignment="1" applyProtection="1">
      <alignment horizontal="center"/>
    </xf>
    <xf numFmtId="9" fontId="0" fillId="4" borderId="16" xfId="3" applyFont="1" applyFill="1" applyBorder="1" applyAlignment="1" applyProtection="1">
      <alignment horizontal="center"/>
    </xf>
    <xf numFmtId="9" fontId="0" fillId="4" borderId="17" xfId="0" applyNumberFormat="1" applyFill="1" applyBorder="1" applyAlignment="1" applyProtection="1">
      <alignment horizontal="center"/>
    </xf>
    <xf numFmtId="9" fontId="0" fillId="4" borderId="22" xfId="0" applyNumberFormat="1" applyFill="1" applyBorder="1" applyAlignment="1" applyProtection="1">
      <alignment horizontal="center"/>
    </xf>
    <xf numFmtId="9" fontId="0" fillId="4" borderId="5" xfId="0" applyNumberFormat="1" applyFill="1" applyBorder="1" applyAlignment="1" applyProtection="1">
      <alignment horizontal="center"/>
    </xf>
    <xf numFmtId="0" fontId="0" fillId="14" borderId="58" xfId="0" applyFill="1" applyBorder="1" applyProtection="1"/>
    <xf numFmtId="0" fontId="0" fillId="14" borderId="39" xfId="0" applyFill="1" applyBorder="1" applyProtection="1"/>
    <xf numFmtId="0" fontId="0" fillId="14" borderId="40" xfId="0" applyFill="1" applyBorder="1" applyProtection="1"/>
    <xf numFmtId="0" fontId="22" fillId="4" borderId="1" xfId="0" applyFont="1" applyFill="1" applyBorder="1" applyAlignment="1" applyProtection="1">
      <alignment horizontal="center" vertical="center"/>
    </xf>
    <xf numFmtId="0" fontId="22" fillId="4" borderId="1" xfId="0" applyFont="1" applyFill="1" applyBorder="1" applyAlignment="1" applyProtection="1">
      <alignment horizontal="center" vertical="center" wrapText="1"/>
    </xf>
    <xf numFmtId="0" fontId="0" fillId="4" borderId="1" xfId="0" applyFill="1" applyBorder="1" applyAlignment="1" applyProtection="1">
      <alignment horizontal="center"/>
    </xf>
    <xf numFmtId="7" fontId="0" fillId="4" borderId="1" xfId="1" applyNumberFormat="1" applyFont="1" applyFill="1" applyBorder="1" applyAlignment="1" applyProtection="1">
      <alignment horizontal="center" vertical="center"/>
    </xf>
    <xf numFmtId="0" fontId="29" fillId="0" borderId="0" xfId="0" applyFont="1" applyAlignment="1">
      <alignment vertical="center"/>
    </xf>
  </cellXfs>
  <cellStyles count="4">
    <cellStyle name="Currency" xfId="1" builtinId="4"/>
    <cellStyle name="Hyperlink" xfId="2" builtinId="8"/>
    <cellStyle name="Normal" xfId="0" builtinId="0"/>
    <cellStyle name="Percent" xfId="3" builtinId="5"/>
  </cellStyles>
  <dxfs count="8">
    <dxf>
      <font>
        <color theme="0" tint="-4.9989318521683403E-2"/>
      </font>
      <fill>
        <patternFill>
          <bgColor theme="0" tint="-4.9989318521683403E-2"/>
        </patternFill>
      </fill>
    </dxf>
    <dxf>
      <font>
        <color theme="0" tint="-4.9989318521683403E-2"/>
      </font>
      <fill>
        <patternFill>
          <bgColor theme="0" tint="-4.9989318521683403E-2"/>
        </patternFill>
      </fill>
    </dxf>
    <dxf>
      <font>
        <color theme="0" tint="-4.9989318521683403E-2"/>
      </font>
      <fill>
        <patternFill>
          <bgColor theme="0" tint="-4.9989318521683403E-2"/>
        </patternFill>
      </fill>
    </dxf>
    <dxf>
      <font>
        <color theme="0" tint="-4.9989318521683403E-2"/>
      </font>
      <fill>
        <patternFill>
          <bgColor theme="0" tint="-4.9989318521683403E-2"/>
        </patternFill>
      </fill>
    </dxf>
    <dxf>
      <font>
        <color theme="0" tint="-4.9989318521683403E-2"/>
      </font>
      <fill>
        <patternFill>
          <bgColor theme="0" tint="-4.9989318521683403E-2"/>
        </patternFill>
      </fill>
    </dxf>
    <dxf>
      <font>
        <color theme="0" tint="-4.9989318521683403E-2"/>
      </font>
      <fill>
        <patternFill>
          <bgColor theme="0" tint="-4.9989318521683403E-2"/>
        </patternFill>
      </fill>
    </dxf>
    <dxf>
      <font>
        <color rgb="FF9C0006"/>
      </font>
      <fill>
        <patternFill>
          <bgColor rgb="FFFFC7CE"/>
        </patternFill>
      </fill>
    </dxf>
    <dxf>
      <font>
        <color theme="0"/>
      </font>
      <fill>
        <patternFill>
          <bgColor theme="0"/>
        </patternFill>
      </fill>
      <border>
        <left/>
        <right/>
        <top/>
        <bottom/>
        <vertical/>
        <horizontal/>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microsoft.com/office/2017/10/relationships/person" Target="persons/perso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4</xdr:col>
      <xdr:colOff>3670298</xdr:colOff>
      <xdr:row>2</xdr:row>
      <xdr:rowOff>103997</xdr:rowOff>
    </xdr:from>
    <xdr:to>
      <xdr:col>4</xdr:col>
      <xdr:colOff>4589355</xdr:colOff>
      <xdr:row>4</xdr:row>
      <xdr:rowOff>171450</xdr:rowOff>
    </xdr:to>
    <xdr:pic>
      <xdr:nvPicPr>
        <xdr:cNvPr id="3" name="Picture 2">
          <a:extLst>
            <a:ext uri="{FF2B5EF4-FFF2-40B4-BE49-F238E27FC236}">
              <a16:creationId xmlns:a16="http://schemas.microsoft.com/office/drawing/2014/main" id="{D6127FA4-9E11-4CCC-B076-B9D9D65405A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220198" y="497697"/>
          <a:ext cx="919057" cy="359553"/>
        </a:xfrm>
        <a:prstGeom prst="rect">
          <a:avLst/>
        </a:prstGeom>
      </xdr:spPr>
    </xdr:pic>
    <xdr:clientData/>
  </xdr:twoCellAnchor>
  <xdr:twoCellAnchor editAs="oneCell">
    <xdr:from>
      <xdr:col>4</xdr:col>
      <xdr:colOff>1786444</xdr:colOff>
      <xdr:row>2</xdr:row>
      <xdr:rowOff>35983</xdr:rowOff>
    </xdr:from>
    <xdr:to>
      <xdr:col>4</xdr:col>
      <xdr:colOff>3158075</xdr:colOff>
      <xdr:row>4</xdr:row>
      <xdr:rowOff>129162</xdr:rowOff>
    </xdr:to>
    <xdr:pic>
      <xdr:nvPicPr>
        <xdr:cNvPr id="5" name="Picture 4">
          <a:extLst>
            <a:ext uri="{FF2B5EF4-FFF2-40B4-BE49-F238E27FC236}">
              <a16:creationId xmlns:a16="http://schemas.microsoft.com/office/drawing/2014/main" id="{414F7266-7118-4A05-8B38-304FD46E1707}"/>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7336344" y="429683"/>
          <a:ext cx="1371631" cy="385279"/>
        </a:xfrm>
        <a:prstGeom prst="rect">
          <a:avLst/>
        </a:prstGeom>
      </xdr:spPr>
    </xdr:pic>
    <xdr:clientData/>
  </xdr:twoCellAnchor>
</xdr:wsDr>
</file>

<file path=xl/persons/person.xml><?xml version="1.0" encoding="utf-8"?>
<personList xmlns="http://schemas.microsoft.com/office/spreadsheetml/2018/threadedcomments" xmlns:x="http://schemas.openxmlformats.org/spreadsheetml/2006/main">
  <person displayName="Ikechukwu Amamilo" id="{05F1F25C-1407-4DBF-9379-95C1E3700333}" userId="S::iamamilo@clintonhealthaccess.org::8f0df221-ad40-4c5d-ae95-74f96af2a47e" providerId="AD"/>
</personList>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I3" dT="2024-12-02T09:38:20.57" personId="{05F1F25C-1407-4DBF-9379-95C1E3700333}" id="{77210284-F655-4851-A3A6-6B15C5CE79CF}">
    <text>Recommend updating this to “ 7 days of L-Amb + 5FC, followed by 7 days of Fluc”</text>
  </threadedComment>
</ThreadedComments>
</file>

<file path=xl/worksheets/_rels/sheet1.xml.rels><?xml version="1.0" encoding="UTF-8" standalone="yes"?>
<Relationships xmlns="http://schemas.openxmlformats.org/package/2006/relationships"><Relationship Id="rId3" Type="http://schemas.openxmlformats.org/officeDocument/2006/relationships/hyperlink" Target="https://www.who.int/hiv/pub/guidelines/advanced-HIV-disease/en/" TargetMode="External"/><Relationship Id="rId2" Type="http://schemas.openxmlformats.org/officeDocument/2006/relationships/hyperlink" Target="https://www.thelancet.com/journals/lancet/article/PIIS0140-6736(15)60164-7/fulltext" TargetMode="External"/><Relationship Id="rId1" Type="http://schemas.openxmlformats.org/officeDocument/2006/relationships/hyperlink" Target="https://www.nejm.org/doi/pdf/10.1056/NEJMoa1710922" TargetMode="External"/><Relationship Id="rId6" Type="http://schemas.openxmlformats.org/officeDocument/2006/relationships/drawing" Target="../drawings/drawing1.xml"/><Relationship Id="rId5" Type="http://schemas.openxmlformats.org/officeDocument/2006/relationships/printerSettings" Target="../printerSettings/printerSettings1.bin"/><Relationship Id="rId4" Type="http://schemas.openxmlformats.org/officeDocument/2006/relationships/hyperlink" Target="https://www.ncbi.nlm.nih.gov/pmc/articles/PMC6220350/" TargetMode="External"/></Relationships>
</file>

<file path=xl/worksheets/_rels/sheet2.xml.rels><?xml version="1.0" encoding="UTF-8" standalone="yes"?>
<Relationships xmlns="http://schemas.openxmlformats.org/package/2006/relationships"><Relationship Id="rId3" Type="http://schemas.openxmlformats.org/officeDocument/2006/relationships/hyperlink" Target="https://www.ncbi.nlm.nih.gov/pmc/articles/PMC6220350/" TargetMode="External"/><Relationship Id="rId2" Type="http://schemas.openxmlformats.org/officeDocument/2006/relationships/hyperlink" Target="https://www.thelancet.com/journals/lancet/article/PIIS0140-6736(15)60164-7/fulltext" TargetMode="External"/><Relationship Id="rId1" Type="http://schemas.openxmlformats.org/officeDocument/2006/relationships/hyperlink" Target="https://www.nejm.org/doi/pdf/10.1056/NEJMoa1710922" TargetMode="External"/><Relationship Id="rId6" Type="http://schemas.openxmlformats.org/officeDocument/2006/relationships/printerSettings" Target="../printerSettings/printerSettings2.bin"/><Relationship Id="rId5" Type="http://schemas.openxmlformats.org/officeDocument/2006/relationships/hyperlink" Target="https://www.who.int/publications/i/item/9789240052178" TargetMode="External"/><Relationship Id="rId4" Type="http://schemas.openxmlformats.org/officeDocument/2006/relationships/hyperlink" Target="https://www.who.int/hiv/pub/guidelines/advanced-HIV-disease/en/" TargetMode="External"/></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https://www.who.int/publications/i/item/9789240052178" TargetMode="External"/></Relationships>
</file>

<file path=xl/worksheets/_rels/sheet5.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hyperlink" Target="https://www.who.int/publications/i/item/9789240052178" TargetMode="External"/><Relationship Id="rId4" Type="http://schemas.microsoft.com/office/2017/10/relationships/threadedComment" Target="../threadedComments/threadedComment1.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4524FF-5D63-456E-B4D0-8F9BB9427CF6}">
  <sheetPr>
    <tabColor theme="4" tint="0.79998168889431442"/>
    <pageSetUpPr autoPageBreaks="0"/>
  </sheetPr>
  <dimension ref="B1:F62"/>
  <sheetViews>
    <sheetView showGridLines="0" zoomScaleNormal="100" workbookViewId="0">
      <selection activeCell="B26" sqref="B26:C26"/>
    </sheetView>
  </sheetViews>
  <sheetFormatPr defaultRowHeight="15" x14ac:dyDescent="0.25"/>
  <cols>
    <col min="1" max="1" width="1.28515625" customWidth="1"/>
    <col min="2" max="2" width="66.7109375" customWidth="1"/>
    <col min="3" max="3" width="8.28515625" bestFit="1" customWidth="1"/>
    <col min="4" max="4" width="3.140625" customWidth="1"/>
    <col min="5" max="5" width="140" customWidth="1"/>
    <col min="6" max="6" width="11" customWidth="1"/>
  </cols>
  <sheetData>
    <row r="1" spans="2:6" ht="7.9" customHeight="1" x14ac:dyDescent="0.25">
      <c r="B1" s="6"/>
    </row>
    <row r="2" spans="2:6" s="16" customFormat="1" ht="23.25" x14ac:dyDescent="0.35">
      <c r="B2" s="1" t="s">
        <v>7</v>
      </c>
    </row>
    <row r="3" spans="2:6" ht="8.4499999999999993" customHeight="1" x14ac:dyDescent="0.25">
      <c r="B3" s="17"/>
    </row>
    <row r="4" spans="2:6" x14ac:dyDescent="0.25">
      <c r="B4" s="2" t="s">
        <v>0</v>
      </c>
    </row>
    <row r="5" spans="2:6" x14ac:dyDescent="0.25">
      <c r="B5" s="3" t="s">
        <v>1</v>
      </c>
    </row>
    <row r="6" spans="2:6" ht="8.4499999999999993" customHeight="1" x14ac:dyDescent="0.25">
      <c r="B6" s="17"/>
    </row>
    <row r="7" spans="2:6" ht="8.4499999999999993" customHeight="1" x14ac:dyDescent="0.25">
      <c r="B7" s="17"/>
    </row>
    <row r="8" spans="2:6" ht="15.6" customHeight="1" x14ac:dyDescent="0.25">
      <c r="B8" s="257" t="s">
        <v>19</v>
      </c>
      <c r="C8" s="257"/>
      <c r="D8" s="257"/>
      <c r="E8" s="257"/>
      <c r="F8" s="257"/>
    </row>
    <row r="9" spans="2:6" ht="8.4499999999999993" customHeight="1" x14ac:dyDescent="0.25"/>
    <row r="10" spans="2:6" ht="15.6" customHeight="1" x14ac:dyDescent="0.25">
      <c r="B10" t="s">
        <v>214</v>
      </c>
      <c r="F10" s="11"/>
    </row>
    <row r="11" spans="2:6" ht="15.6" customHeight="1" x14ac:dyDescent="0.25">
      <c r="B11" t="s">
        <v>24</v>
      </c>
      <c r="F11" s="11"/>
    </row>
    <row r="12" spans="2:6" ht="15.6" customHeight="1" x14ac:dyDescent="0.25">
      <c r="B12" t="s">
        <v>163</v>
      </c>
      <c r="F12" s="11"/>
    </row>
    <row r="13" spans="2:6" ht="51.75" customHeight="1" x14ac:dyDescent="0.25">
      <c r="B13" s="258" t="s">
        <v>233</v>
      </c>
      <c r="C13" s="258"/>
      <c r="D13" s="258"/>
      <c r="E13" s="258"/>
      <c r="F13" s="11"/>
    </row>
    <row r="14" spans="2:6" ht="30.75" customHeight="1" x14ac:dyDescent="0.25">
      <c r="B14" s="258" t="s">
        <v>215</v>
      </c>
      <c r="C14" s="258"/>
      <c r="D14" s="258"/>
      <c r="E14" s="258"/>
      <c r="F14" s="11"/>
    </row>
    <row r="15" spans="2:6" ht="33.75" customHeight="1" x14ac:dyDescent="0.25">
      <c r="B15" s="258" t="s">
        <v>164</v>
      </c>
      <c r="C15" s="258"/>
      <c r="D15" s="258"/>
      <c r="E15" s="258"/>
      <c r="F15" s="11"/>
    </row>
    <row r="16" spans="2:6" ht="15.6" customHeight="1" x14ac:dyDescent="0.25">
      <c r="B16" s="20"/>
      <c r="F16" s="11"/>
    </row>
    <row r="17" spans="2:6" x14ac:dyDescent="0.25">
      <c r="B17" s="18" t="s">
        <v>44</v>
      </c>
    </row>
    <row r="18" spans="2:6" x14ac:dyDescent="0.25">
      <c r="B18" s="18" t="s">
        <v>45</v>
      </c>
    </row>
    <row r="19" spans="2:6" x14ac:dyDescent="0.25">
      <c r="B19" s="18" t="s">
        <v>46</v>
      </c>
    </row>
    <row r="20" spans="2:6" x14ac:dyDescent="0.25">
      <c r="B20" s="18"/>
    </row>
    <row r="21" spans="2:6" x14ac:dyDescent="0.25">
      <c r="B21" s="18" t="s">
        <v>216</v>
      </c>
    </row>
    <row r="22" spans="2:6" x14ac:dyDescent="0.25">
      <c r="B22" s="18"/>
    </row>
    <row r="23" spans="2:6" x14ac:dyDescent="0.25">
      <c r="B23" s="18"/>
    </row>
    <row r="24" spans="2:6" ht="15.75" x14ac:dyDescent="0.25">
      <c r="B24" s="254" t="s">
        <v>39</v>
      </c>
      <c r="C24" s="254"/>
      <c r="D24" s="254"/>
      <c r="E24" s="254"/>
      <c r="F24" s="255"/>
    </row>
    <row r="25" spans="2:6" ht="8.4499999999999993" customHeight="1" x14ac:dyDescent="0.25">
      <c r="B25" s="19"/>
    </row>
    <row r="26" spans="2:6" x14ac:dyDescent="0.25">
      <c r="B26" s="256" t="s">
        <v>40</v>
      </c>
      <c r="C26" s="256"/>
      <c r="E26" s="6" t="s">
        <v>25</v>
      </c>
    </row>
    <row r="27" spans="2:6" ht="30" x14ac:dyDescent="0.25">
      <c r="B27" s="24" t="s">
        <v>34</v>
      </c>
      <c r="C27" s="31">
        <v>0.35</v>
      </c>
      <c r="E27" s="29" t="s">
        <v>26</v>
      </c>
    </row>
    <row r="28" spans="2:6" x14ac:dyDescent="0.25">
      <c r="B28" s="24" t="s">
        <v>11</v>
      </c>
      <c r="C28" s="31"/>
      <c r="E28" s="28" t="s">
        <v>234</v>
      </c>
    </row>
    <row r="29" spans="2:6" ht="30" x14ac:dyDescent="0.25">
      <c r="B29" s="24" t="s">
        <v>13</v>
      </c>
      <c r="C29" s="31"/>
      <c r="E29" s="28" t="s">
        <v>235</v>
      </c>
    </row>
    <row r="30" spans="2:6" x14ac:dyDescent="0.25">
      <c r="B30" s="24" t="s">
        <v>12</v>
      </c>
      <c r="C30" s="32">
        <v>3.7999999999999999E-2</v>
      </c>
      <c r="E30" s="29" t="s">
        <v>29</v>
      </c>
    </row>
    <row r="31" spans="2:6" x14ac:dyDescent="0.25">
      <c r="B31" s="24" t="s">
        <v>35</v>
      </c>
      <c r="C31" s="31">
        <v>0.5</v>
      </c>
      <c r="E31" s="29" t="s">
        <v>31</v>
      </c>
    </row>
    <row r="32" spans="2:6" x14ac:dyDescent="0.25">
      <c r="B32" s="25" t="s">
        <v>10</v>
      </c>
      <c r="C32" s="33">
        <v>50</v>
      </c>
      <c r="E32" s="29" t="s">
        <v>30</v>
      </c>
    </row>
    <row r="34" spans="2:6" x14ac:dyDescent="0.25">
      <c r="B34" s="26" t="s">
        <v>8</v>
      </c>
      <c r="C34" s="34"/>
      <c r="E34" s="27" t="s">
        <v>236</v>
      </c>
    </row>
    <row r="36" spans="2:6" ht="15.75" x14ac:dyDescent="0.25">
      <c r="B36" s="254" t="s">
        <v>22</v>
      </c>
      <c r="C36" s="254"/>
      <c r="D36" s="254"/>
      <c r="E36" s="254"/>
      <c r="F36" s="255"/>
    </row>
    <row r="37" spans="2:6" ht="8.4499999999999993" customHeight="1" x14ac:dyDescent="0.25">
      <c r="B37" s="19"/>
    </row>
    <row r="38" spans="2:6" x14ac:dyDescent="0.25">
      <c r="B38" s="6" t="s">
        <v>21</v>
      </c>
    </row>
    <row r="39" spans="2:6" x14ac:dyDescent="0.25">
      <c r="B39" t="s">
        <v>243</v>
      </c>
    </row>
    <row r="40" spans="2:6" x14ac:dyDescent="0.25">
      <c r="B40" t="s">
        <v>213</v>
      </c>
    </row>
    <row r="41" spans="2:6" x14ac:dyDescent="0.25">
      <c r="B41" t="s">
        <v>217</v>
      </c>
    </row>
    <row r="42" spans="2:6" x14ac:dyDescent="0.25">
      <c r="B42" t="s">
        <v>165</v>
      </c>
    </row>
    <row r="43" spans="2:6" x14ac:dyDescent="0.25">
      <c r="B43" t="s">
        <v>32</v>
      </c>
    </row>
    <row r="44" spans="2:6" x14ac:dyDescent="0.25">
      <c r="B44" t="s">
        <v>211</v>
      </c>
    </row>
    <row r="45" spans="2:6" x14ac:dyDescent="0.25">
      <c r="B45" t="s">
        <v>212</v>
      </c>
    </row>
    <row r="46" spans="2:6" x14ac:dyDescent="0.25">
      <c r="B46" t="s">
        <v>249</v>
      </c>
    </row>
    <row r="47" spans="2:6" x14ac:dyDescent="0.25">
      <c r="B47" t="s">
        <v>166</v>
      </c>
    </row>
    <row r="48" spans="2:6" x14ac:dyDescent="0.25">
      <c r="B48" t="s">
        <v>239</v>
      </c>
    </row>
    <row r="49" spans="2:2" x14ac:dyDescent="0.25">
      <c r="B49" s="6" t="s">
        <v>9</v>
      </c>
    </row>
    <row r="50" spans="2:2" x14ac:dyDescent="0.25">
      <c r="B50" t="s">
        <v>14</v>
      </c>
    </row>
    <row r="51" spans="2:2" x14ac:dyDescent="0.25">
      <c r="B51" t="s">
        <v>220</v>
      </c>
    </row>
    <row r="52" spans="2:2" x14ac:dyDescent="0.25">
      <c r="B52" t="s">
        <v>218</v>
      </c>
    </row>
    <row r="53" spans="2:2" x14ac:dyDescent="0.25">
      <c r="B53" t="s">
        <v>221</v>
      </c>
    </row>
    <row r="54" spans="2:2" x14ac:dyDescent="0.25">
      <c r="B54" t="s">
        <v>18</v>
      </c>
    </row>
    <row r="55" spans="2:2" x14ac:dyDescent="0.25">
      <c r="B55" t="s">
        <v>16</v>
      </c>
    </row>
    <row r="56" spans="2:2" x14ac:dyDescent="0.25">
      <c r="B56" t="s">
        <v>219</v>
      </c>
    </row>
    <row r="57" spans="2:2" x14ac:dyDescent="0.25">
      <c r="B57" t="s">
        <v>222</v>
      </c>
    </row>
    <row r="58" spans="2:2" x14ac:dyDescent="0.25">
      <c r="B58" t="s">
        <v>223</v>
      </c>
    </row>
    <row r="59" spans="2:2" x14ac:dyDescent="0.25">
      <c r="B59" t="s">
        <v>228</v>
      </c>
    </row>
    <row r="60" spans="2:2" x14ac:dyDescent="0.25">
      <c r="B60" t="s">
        <v>17</v>
      </c>
    </row>
    <row r="61" spans="2:2" x14ac:dyDescent="0.25">
      <c r="B61" t="s">
        <v>15</v>
      </c>
    </row>
    <row r="62" spans="2:2" x14ac:dyDescent="0.25">
      <c r="B62" t="s">
        <v>224</v>
      </c>
    </row>
  </sheetData>
  <sheetProtection sheet="1" objects="1" scenarios="1"/>
  <mergeCells count="7">
    <mergeCell ref="B36:F36"/>
    <mergeCell ref="B26:C26"/>
    <mergeCell ref="B24:F24"/>
    <mergeCell ref="B8:F8"/>
    <mergeCell ref="B13:E13"/>
    <mergeCell ref="B14:E14"/>
    <mergeCell ref="B15:E15"/>
  </mergeCells>
  <dataValidations count="3">
    <dataValidation type="decimal" allowBlank="1" showInputMessage="1" showErrorMessage="1" sqref="C34" xr:uid="{E41EA22A-7BAB-4F8D-8651-F7F5754F96B5}">
      <formula1>0</formula1>
      <formula2>24</formula2>
    </dataValidation>
    <dataValidation type="decimal" allowBlank="1" showInputMessage="1" showErrorMessage="1" sqref="C32" xr:uid="{18E30DD4-01C1-49AE-974C-3512A14BFF98}">
      <formula1>0</formula1>
      <formula2>300</formula2>
    </dataValidation>
    <dataValidation type="decimal" allowBlank="1" showInputMessage="1" showErrorMessage="1" sqref="C27:C31" xr:uid="{6644CD5F-8779-462E-927A-86E19235B057}">
      <formula1>0</formula1>
      <formula2>1</formula2>
    </dataValidation>
  </dataValidations>
  <hyperlinks>
    <hyperlink ref="E32" r:id="rId1" display="Median weight in ACTA trial" xr:uid="{7768DC2F-3BB6-4770-BCC5-DC23D6606265}"/>
    <hyperlink ref="E30" r:id="rId2" display="Pooled CrAg positivity rate in REMSTART trial" xr:uid="{BA45AFD4-5722-46C4-96E2-B3FBAF0092F0}"/>
    <hyperlink ref="E27" r:id="rId3" display="2017 WHO AHD guidelines estimate 30-40% of new initiates in LMICs start ART with AHD" xr:uid="{5548A347-C534-4807-9192-CFC62D4A75B3}"/>
    <hyperlink ref="E31" r:id="rId4" display="Clinical Infectious Disease study showing 50% of CrAg positive individuals were symptomatic for Cryptococcal meningitis" xr:uid="{C0DBE0E6-B6D3-4AE9-A32B-A1F9FC6122D2}"/>
  </hyperlinks>
  <pageMargins left="0.7" right="0.7" top="0.75" bottom="0.75" header="0.3" footer="0.3"/>
  <pageSetup orientation="portrait" r:id="rId5"/>
  <drawing r:id="rId6"/>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0B13B5-22DA-4D82-92BE-3B5ED0D8E2C3}">
  <sheetPr>
    <tabColor theme="5" tint="0.79998168889431442"/>
  </sheetPr>
  <dimension ref="A1:O47"/>
  <sheetViews>
    <sheetView showGridLines="0" topLeftCell="A24" zoomScaleNormal="100" workbookViewId="0">
      <selection activeCell="H6" sqref="H6"/>
    </sheetView>
  </sheetViews>
  <sheetFormatPr defaultRowHeight="15" x14ac:dyDescent="0.25"/>
  <cols>
    <col min="1" max="1" width="2.28515625" customWidth="1"/>
    <col min="2" max="2" width="70.42578125" customWidth="1"/>
    <col min="3" max="3" width="10.5703125" customWidth="1"/>
    <col min="4" max="6" width="15.7109375" customWidth="1"/>
    <col min="7" max="7" width="5.42578125" customWidth="1"/>
    <col min="8" max="8" width="24.7109375" customWidth="1"/>
    <col min="9" max="9" width="53.28515625" customWidth="1"/>
  </cols>
  <sheetData>
    <row r="1" spans="1:15" s="38" customFormat="1" ht="19.899999999999999" customHeight="1" x14ac:dyDescent="0.25">
      <c r="A1" s="335"/>
      <c r="B1" s="336" t="s">
        <v>53</v>
      </c>
      <c r="C1" s="335"/>
    </row>
    <row r="2" spans="1:15" x14ac:dyDescent="0.25">
      <c r="A2" s="337"/>
      <c r="B2" s="337"/>
      <c r="C2" s="337"/>
    </row>
    <row r="3" spans="1:15" x14ac:dyDescent="0.25">
      <c r="A3" s="337"/>
      <c r="B3" s="337" t="s">
        <v>107</v>
      </c>
      <c r="C3" s="337"/>
      <c r="D3" s="51">
        <v>45658</v>
      </c>
      <c r="G3" s="126" t="s">
        <v>47</v>
      </c>
      <c r="H3" s="120">
        <f>IF(D3="","-",DATE((YEAR(D3)+3),MONTH(D3)-1,DAY(D3)))</f>
        <v>46722</v>
      </c>
    </row>
    <row r="4" spans="1:15" x14ac:dyDescent="0.25">
      <c r="A4" s="337"/>
      <c r="B4" s="337"/>
      <c r="C4" s="337"/>
    </row>
    <row r="5" spans="1:15" x14ac:dyDescent="0.25">
      <c r="A5" s="337"/>
      <c r="B5" s="337"/>
      <c r="C5" s="338" t="s">
        <v>77</v>
      </c>
      <c r="D5" s="39" t="s">
        <v>50</v>
      </c>
      <c r="E5" s="39" t="s">
        <v>51</v>
      </c>
      <c r="F5" s="39" t="s">
        <v>52</v>
      </c>
      <c r="H5" s="121" t="s">
        <v>55</v>
      </c>
    </row>
    <row r="6" spans="1:15" x14ac:dyDescent="0.25">
      <c r="A6" s="337"/>
      <c r="B6" s="337" t="s">
        <v>49</v>
      </c>
      <c r="C6" s="14">
        <v>800000</v>
      </c>
      <c r="D6" s="247">
        <f>(C6-(C6*D8))+D7</f>
        <v>810000</v>
      </c>
      <c r="E6" s="247">
        <f>(D6-(D6*E8))+E7</f>
        <v>819500</v>
      </c>
      <c r="F6" s="247">
        <f>(E6-(E6*F8))+F7</f>
        <v>828525</v>
      </c>
      <c r="H6" s="117" t="s">
        <v>78</v>
      </c>
    </row>
    <row r="7" spans="1:15" x14ac:dyDescent="0.25">
      <c r="A7" s="337"/>
      <c r="B7" s="337" t="s">
        <v>88</v>
      </c>
      <c r="C7" s="339"/>
      <c r="D7" s="248">
        <v>50000</v>
      </c>
      <c r="E7" s="248">
        <v>50000</v>
      </c>
      <c r="F7" s="248">
        <v>50000</v>
      </c>
      <c r="H7" s="79"/>
    </row>
    <row r="8" spans="1:15" x14ac:dyDescent="0.25">
      <c r="A8" s="337"/>
      <c r="B8" s="337" t="s">
        <v>89</v>
      </c>
      <c r="C8" s="337"/>
      <c r="D8" s="221">
        <v>0.05</v>
      </c>
      <c r="E8" s="221">
        <v>0.05</v>
      </c>
      <c r="F8" s="221">
        <v>0.05</v>
      </c>
    </row>
    <row r="9" spans="1:15" ht="31.5" customHeight="1" x14ac:dyDescent="0.25">
      <c r="A9" s="337"/>
      <c r="B9" s="340" t="s">
        <v>237</v>
      </c>
      <c r="C9" s="337"/>
      <c r="D9" s="221">
        <v>0.5</v>
      </c>
      <c r="E9" s="221">
        <v>0.5</v>
      </c>
      <c r="F9" s="221">
        <v>0.5</v>
      </c>
      <c r="H9" s="262" t="s">
        <v>238</v>
      </c>
      <c r="I9" s="262"/>
      <c r="J9" s="220"/>
      <c r="K9" s="220"/>
      <c r="L9" s="220"/>
      <c r="M9" s="220"/>
      <c r="N9" s="220"/>
      <c r="O9" s="220"/>
    </row>
    <row r="10" spans="1:15" ht="37.5" customHeight="1" x14ac:dyDescent="0.25">
      <c r="A10" s="337"/>
      <c r="B10" s="341" t="s">
        <v>83</v>
      </c>
      <c r="C10" s="337"/>
      <c r="D10" s="221">
        <v>0.5</v>
      </c>
      <c r="E10" s="221">
        <v>0.5</v>
      </c>
      <c r="F10" s="221">
        <v>0.5</v>
      </c>
      <c r="H10" s="262"/>
      <c r="I10" s="262"/>
      <c r="J10" s="220"/>
      <c r="K10" s="220"/>
      <c r="L10" s="220"/>
      <c r="M10" s="220"/>
      <c r="N10" s="220"/>
      <c r="O10" s="220"/>
    </row>
    <row r="11" spans="1:15" x14ac:dyDescent="0.25">
      <c r="A11" s="337"/>
      <c r="B11" s="337"/>
      <c r="C11" s="337"/>
    </row>
    <row r="12" spans="1:15" x14ac:dyDescent="0.25">
      <c r="A12" s="337"/>
      <c r="B12" s="337" t="s">
        <v>90</v>
      </c>
      <c r="C12" s="337"/>
      <c r="D12" s="264">
        <v>4</v>
      </c>
      <c r="E12" s="265"/>
      <c r="F12" s="266"/>
      <c r="H12" s="117" t="s">
        <v>109</v>
      </c>
    </row>
    <row r="13" spans="1:15" x14ac:dyDescent="0.25">
      <c r="A13" s="337"/>
      <c r="B13" s="337"/>
      <c r="C13" s="337"/>
      <c r="D13" s="267">
        <f>1+(D12/12)</f>
        <v>1.3333333333333333</v>
      </c>
      <c r="E13" s="267"/>
      <c r="F13" s="267"/>
    </row>
    <row r="14" spans="1:15" x14ac:dyDescent="0.25">
      <c r="A14" s="337"/>
      <c r="B14" s="337"/>
      <c r="C14" s="337"/>
      <c r="D14" s="249"/>
      <c r="E14" s="249"/>
      <c r="F14" s="249"/>
    </row>
    <row r="15" spans="1:15" s="38" customFormat="1" ht="19.899999999999999" customHeight="1" x14ac:dyDescent="0.25">
      <c r="A15" s="335"/>
      <c r="B15" s="336" t="s">
        <v>54</v>
      </c>
      <c r="C15" s="335"/>
    </row>
    <row r="16" spans="1:15" x14ac:dyDescent="0.25">
      <c r="A16" s="337"/>
      <c r="B16" s="337"/>
      <c r="C16" s="337"/>
    </row>
    <row r="17" spans="1:10" x14ac:dyDescent="0.25">
      <c r="A17" s="337"/>
      <c r="B17" s="342" t="s">
        <v>48</v>
      </c>
      <c r="C17" s="337"/>
      <c r="D17" s="39" t="s">
        <v>50</v>
      </c>
      <c r="E17" s="39" t="s">
        <v>51</v>
      </c>
      <c r="F17" s="39" t="s">
        <v>52</v>
      </c>
      <c r="H17" s="121" t="s">
        <v>55</v>
      </c>
      <c r="I17" s="121" t="s">
        <v>113</v>
      </c>
    </row>
    <row r="18" spans="1:10" ht="14.45" customHeight="1" x14ac:dyDescent="0.25">
      <c r="A18" s="337"/>
      <c r="B18" s="343" t="s">
        <v>34</v>
      </c>
      <c r="C18" s="337"/>
      <c r="D18" s="36">
        <v>0.35</v>
      </c>
      <c r="E18" s="46">
        <v>0.35</v>
      </c>
      <c r="F18" s="46">
        <v>0.35</v>
      </c>
      <c r="H18" s="250">
        <v>0.35</v>
      </c>
      <c r="I18" s="263" t="s">
        <v>26</v>
      </c>
    </row>
    <row r="19" spans="1:10" ht="14.45" customHeight="1" x14ac:dyDescent="0.25">
      <c r="A19" s="337"/>
      <c r="B19" s="343"/>
      <c r="C19" s="337"/>
      <c r="H19" s="250"/>
      <c r="I19" s="263"/>
    </row>
    <row r="20" spans="1:10" ht="14.45" customHeight="1" x14ac:dyDescent="0.25">
      <c r="A20" s="337"/>
      <c r="B20" s="344" t="s">
        <v>5</v>
      </c>
      <c r="C20" s="337"/>
      <c r="H20" s="250"/>
      <c r="I20" s="122"/>
    </row>
    <row r="21" spans="1:10" ht="26.25" x14ac:dyDescent="0.25">
      <c r="A21" s="337"/>
      <c r="B21" s="343" t="s">
        <v>225</v>
      </c>
      <c r="C21" s="337"/>
      <c r="D21" s="36">
        <v>0.05</v>
      </c>
      <c r="E21" s="221">
        <v>0.05</v>
      </c>
      <c r="F21" s="221">
        <v>0.05</v>
      </c>
      <c r="H21" s="251"/>
      <c r="I21" s="219" t="s">
        <v>27</v>
      </c>
      <c r="J21" s="217"/>
    </row>
    <row r="22" spans="1:10" x14ac:dyDescent="0.25">
      <c r="A22" s="337"/>
      <c r="B22" s="343" t="s">
        <v>13</v>
      </c>
      <c r="C22" s="337"/>
      <c r="D22" s="36">
        <v>0.5</v>
      </c>
      <c r="E22" s="221">
        <v>0.5</v>
      </c>
      <c r="F22" s="221">
        <v>0.5</v>
      </c>
      <c r="H22" s="251"/>
      <c r="I22" s="117" t="s">
        <v>28</v>
      </c>
    </row>
    <row r="23" spans="1:10" x14ac:dyDescent="0.25">
      <c r="A23" s="337"/>
      <c r="B23" s="343"/>
      <c r="C23" s="337"/>
      <c r="H23" s="251"/>
      <c r="I23" s="117"/>
    </row>
    <row r="24" spans="1:10" x14ac:dyDescent="0.25">
      <c r="A24" s="337"/>
      <c r="B24" s="344" t="s">
        <v>114</v>
      </c>
      <c r="C24" s="337"/>
      <c r="H24" s="251"/>
      <c r="I24" s="117"/>
    </row>
    <row r="25" spans="1:10" x14ac:dyDescent="0.25">
      <c r="A25" s="337"/>
      <c r="B25" s="343" t="s">
        <v>12</v>
      </c>
      <c r="C25" s="337"/>
      <c r="D25" s="37">
        <v>3.7999999999999999E-2</v>
      </c>
      <c r="E25" s="37">
        <v>3.7999999999999999E-2</v>
      </c>
      <c r="F25" s="37">
        <v>3.7999999999999999E-2</v>
      </c>
      <c r="H25" s="252">
        <v>3.7999999999999999E-2</v>
      </c>
      <c r="I25" s="122" t="s">
        <v>29</v>
      </c>
    </row>
    <row r="26" spans="1:10" ht="26.25" x14ac:dyDescent="0.25">
      <c r="A26" s="337"/>
      <c r="B26" s="343" t="s">
        <v>72</v>
      </c>
      <c r="C26" s="337"/>
      <c r="D26" s="36">
        <v>0.5</v>
      </c>
      <c r="E26" s="36">
        <v>0.5</v>
      </c>
      <c r="F26" s="36">
        <v>0.5</v>
      </c>
      <c r="H26" s="250">
        <v>0.5</v>
      </c>
      <c r="I26" s="218" t="s">
        <v>31</v>
      </c>
      <c r="J26" s="217"/>
    </row>
    <row r="27" spans="1:10" ht="19.5" customHeight="1" x14ac:dyDescent="0.25">
      <c r="A27" s="337"/>
      <c r="B27" s="343" t="s">
        <v>244</v>
      </c>
      <c r="C27" s="337"/>
      <c r="D27" s="36">
        <v>0.5</v>
      </c>
      <c r="E27" s="36">
        <v>0.5</v>
      </c>
      <c r="F27" s="36">
        <v>0.5</v>
      </c>
      <c r="H27" s="250" t="s">
        <v>245</v>
      </c>
      <c r="I27" s="218"/>
      <c r="J27" s="217"/>
    </row>
    <row r="28" spans="1:10" x14ac:dyDescent="0.25">
      <c r="A28" s="337"/>
      <c r="B28" s="341" t="s">
        <v>10</v>
      </c>
      <c r="C28" s="337"/>
      <c r="D28" s="246">
        <v>50</v>
      </c>
      <c r="E28" s="246">
        <v>50</v>
      </c>
      <c r="F28" s="246">
        <v>50</v>
      </c>
      <c r="H28" s="253">
        <v>50</v>
      </c>
      <c r="I28" s="122" t="s">
        <v>30</v>
      </c>
    </row>
    <row r="29" spans="1:10" s="4" customFormat="1" x14ac:dyDescent="0.25">
      <c r="A29" s="345"/>
      <c r="B29" s="346"/>
      <c r="C29" s="345"/>
      <c r="D29"/>
      <c r="E29"/>
      <c r="F29"/>
      <c r="H29" s="177"/>
      <c r="I29" s="178"/>
    </row>
    <row r="30" spans="1:10" ht="15.75" thickBot="1" x14ac:dyDescent="0.3">
      <c r="A30" s="337"/>
      <c r="B30" s="347" t="s">
        <v>151</v>
      </c>
      <c r="C30" s="337"/>
      <c r="D30" s="260" t="s">
        <v>141</v>
      </c>
      <c r="E30" s="260"/>
      <c r="F30" s="260"/>
      <c r="H30" s="123"/>
      <c r="I30" s="122"/>
    </row>
    <row r="31" spans="1:10" x14ac:dyDescent="0.25">
      <c r="A31" s="337"/>
      <c r="B31" s="343" t="s">
        <v>140</v>
      </c>
      <c r="C31" s="337"/>
      <c r="D31" s="237">
        <v>0.5</v>
      </c>
      <c r="E31" s="238">
        <v>0.5</v>
      </c>
      <c r="F31" s="239">
        <v>0.5</v>
      </c>
      <c r="I31" s="122" t="s">
        <v>153</v>
      </c>
    </row>
    <row r="32" spans="1:10" x14ac:dyDescent="0.25">
      <c r="A32" s="337"/>
      <c r="B32" s="343" t="s">
        <v>86</v>
      </c>
      <c r="C32" s="337"/>
      <c r="D32" s="240">
        <v>0.5</v>
      </c>
      <c r="E32" s="241">
        <v>0.5</v>
      </c>
      <c r="F32" s="242">
        <v>0.5</v>
      </c>
    </row>
    <row r="33" spans="1:9" x14ac:dyDescent="0.25">
      <c r="A33" s="337"/>
      <c r="B33" s="343" t="s">
        <v>85</v>
      </c>
      <c r="C33" s="337"/>
      <c r="D33" s="240">
        <v>0</v>
      </c>
      <c r="E33" s="241">
        <v>0</v>
      </c>
      <c r="F33" s="242">
        <v>0</v>
      </c>
    </row>
    <row r="34" spans="1:9" ht="15.75" thickBot="1" x14ac:dyDescent="0.3">
      <c r="A34" s="337"/>
      <c r="B34" s="343" t="s">
        <v>226</v>
      </c>
      <c r="C34" s="337"/>
      <c r="D34" s="243">
        <v>0</v>
      </c>
      <c r="E34" s="244">
        <v>0</v>
      </c>
      <c r="F34" s="245">
        <v>0</v>
      </c>
    </row>
    <row r="35" spans="1:9" ht="19.5" customHeight="1" x14ac:dyDescent="0.25">
      <c r="A35" s="337"/>
      <c r="B35" s="337"/>
      <c r="C35" s="348" t="s">
        <v>4</v>
      </c>
      <c r="D35" s="259" t="str">
        <f>IF(OR(SUM(D31:D34)&lt;&gt;1,SUM(E31:E34)&lt;&gt;1,SUM(F31:F34)&lt;&gt;1),"Error: total use each year must sum to 100%","")</f>
        <v/>
      </c>
      <c r="E35" s="259"/>
      <c r="F35" s="259"/>
    </row>
    <row r="36" spans="1:9" x14ac:dyDescent="0.25">
      <c r="A36" s="337"/>
      <c r="B36" s="349" t="s">
        <v>101</v>
      </c>
      <c r="C36" s="350"/>
      <c r="D36" s="30"/>
      <c r="E36" s="15"/>
      <c r="F36" s="71"/>
    </row>
    <row r="37" spans="1:9" ht="15.75" thickBot="1" x14ac:dyDescent="0.3">
      <c r="A37" s="337"/>
      <c r="B37" s="347" t="s">
        <v>152</v>
      </c>
      <c r="C37" s="348" t="s">
        <v>3</v>
      </c>
      <c r="D37" s="261" t="s">
        <v>142</v>
      </c>
      <c r="E37" s="261"/>
      <c r="F37" s="261"/>
    </row>
    <row r="38" spans="1:9" x14ac:dyDescent="0.25">
      <c r="A38" s="337"/>
      <c r="B38" s="343" t="s">
        <v>140</v>
      </c>
      <c r="C38" s="337"/>
      <c r="D38" s="326">
        <f>ROUNDUP((((D6*D21*D22)+(D7*D18))*D31)*D25*D26*D27,0)</f>
        <v>180</v>
      </c>
      <c r="E38" s="326">
        <f t="shared" ref="E38:F38" si="0">ROUNDUP((((E6*E21*E22)+(E7*E18))*E31)*E25*E26*E27,0)</f>
        <v>181</v>
      </c>
      <c r="F38" s="326">
        <f t="shared" si="0"/>
        <v>182</v>
      </c>
      <c r="H38" s="149"/>
    </row>
    <row r="39" spans="1:9" x14ac:dyDescent="0.25">
      <c r="A39" s="337"/>
      <c r="B39" s="343" t="s">
        <v>86</v>
      </c>
      <c r="C39" s="337"/>
      <c r="D39" s="327">
        <f>ROUNDUP((((D6*D21*D22)+(D7*D18))*D32)*D25*D26*D27,0)</f>
        <v>180</v>
      </c>
      <c r="E39" s="327">
        <f t="shared" ref="E39:F39" si="1">ROUNDUP((((E6*E21*E22)+(E7*E18))*E32)*E25*E26*E27,0)</f>
        <v>181</v>
      </c>
      <c r="F39" s="327">
        <f t="shared" si="1"/>
        <v>182</v>
      </c>
    </row>
    <row r="40" spans="1:9" x14ac:dyDescent="0.25">
      <c r="A40" s="337"/>
      <c r="B40" s="343" t="s">
        <v>85</v>
      </c>
      <c r="C40" s="337"/>
      <c r="D40" s="327">
        <f>ROUNDUP((((D6*D21*D22)+(D7*D18))*D33)*D25*D26*D27,0)</f>
        <v>0</v>
      </c>
      <c r="E40" s="327">
        <f t="shared" ref="E40:F40" si="2">ROUNDUP((((E6*E21*E22)+(E7*E18))*E33)*E25*E26*E27,0)</f>
        <v>0</v>
      </c>
      <c r="F40" s="327">
        <f t="shared" si="2"/>
        <v>0</v>
      </c>
    </row>
    <row r="41" spans="1:9" ht="15.75" thickBot="1" x14ac:dyDescent="0.3">
      <c r="A41" s="337"/>
      <c r="B41" s="343" t="s">
        <v>226</v>
      </c>
      <c r="C41" s="337"/>
      <c r="D41" s="328">
        <f>ROUNDUP((((D6*D21*D22)+(D7*D18))*D34)*D25*D26*D27,0)</f>
        <v>0</v>
      </c>
      <c r="E41" s="328">
        <f t="shared" ref="E41:F41" si="3">ROUNDUP((((E6*E21*E22)+(E7*E18))*E34)*E25*E26*E27,0)</f>
        <v>0</v>
      </c>
      <c r="F41" s="328">
        <f t="shared" si="3"/>
        <v>0</v>
      </c>
    </row>
    <row r="42" spans="1:9" x14ac:dyDescent="0.25">
      <c r="A42" s="337"/>
      <c r="B42" s="337"/>
      <c r="C42" s="337"/>
      <c r="D42" s="4"/>
      <c r="E42" s="4"/>
      <c r="F42" s="4"/>
    </row>
    <row r="43" spans="1:9" ht="15.75" thickBot="1" x14ac:dyDescent="0.3">
      <c r="A43" s="337"/>
      <c r="B43" s="337"/>
      <c r="C43" s="337"/>
      <c r="D43" s="329" t="s">
        <v>246</v>
      </c>
      <c r="E43" s="329"/>
      <c r="F43" s="329"/>
    </row>
    <row r="44" spans="1:9" ht="28.5" customHeight="1" x14ac:dyDescent="0.25">
      <c r="A44" s="337"/>
      <c r="B44" s="343" t="s">
        <v>140</v>
      </c>
      <c r="C44" s="337"/>
      <c r="D44" s="326">
        <f>ROUNDUP(((((D6*D21*D22)+(D7*D18))*D31)*D25*D26)-((((D6*D21*D22)+(D7*D18))*D31)*D25*D26*D27),0)</f>
        <v>180</v>
      </c>
      <c r="E44" s="330">
        <f t="shared" ref="E44:F44" si="4">ROUNDUP(((((E6*E21*E22)+(E7*E18))*E31)*E25*E26)-((((E6*E21*E22)+(E7*E18))*E31)*E25*E26*E27),0)</f>
        <v>181</v>
      </c>
      <c r="F44" s="331">
        <f t="shared" si="4"/>
        <v>182</v>
      </c>
      <c r="H44" s="300" t="s">
        <v>247</v>
      </c>
      <c r="I44" s="300"/>
    </row>
    <row r="45" spans="1:9" x14ac:dyDescent="0.25">
      <c r="A45" s="337"/>
      <c r="B45" s="343" t="s">
        <v>86</v>
      </c>
      <c r="C45" s="337"/>
      <c r="D45" s="327">
        <f>ROUNDUP(((((D6*D21*D22)+(D7*D18))*D32)*D25*D26)-((((D6*D21*D22)+(D7*D18))*D32)*D25*D26*D27),0)</f>
        <v>180</v>
      </c>
      <c r="E45" s="225">
        <f t="shared" ref="E45:F45" si="5">ROUNDUP(((((E6*E21*E22)+(E7*E18))*E32)*E25*E26)-((((E6*E21*E22)+(E7*E18))*E32)*E25*E26*E27),0)</f>
        <v>181</v>
      </c>
      <c r="F45" s="332">
        <f t="shared" si="5"/>
        <v>182</v>
      </c>
    </row>
    <row r="46" spans="1:9" x14ac:dyDescent="0.25">
      <c r="A46" s="337"/>
      <c r="B46" s="343" t="s">
        <v>85</v>
      </c>
      <c r="C46" s="337"/>
      <c r="D46" s="327">
        <f>ROUNDUP(((((D6*D21*D22)+(D7*D18))*D33)*D25*D26)-((((D6*D21*D22)+(D7*D18))*D33)*D25*D26*D27),0)</f>
        <v>0</v>
      </c>
      <c r="E46" s="225">
        <f>ROUNDUP(((((E6*E21*E22)+(E7*E18))*E33)*E25*E26)-((((E6*E21*E22)+(E7*E18))*E33)*E25*E26*E27),0)</f>
        <v>0</v>
      </c>
      <c r="F46" s="332">
        <f>ROUNDUP(((((F6*F21*F22)+(F7*F18))*F33)*F25*F26)-((((F6*F21*F22)+(F7*F18))*F33)*F25*F26*F27),0)</f>
        <v>0</v>
      </c>
    </row>
    <row r="47" spans="1:9" ht="15.75" thickBot="1" x14ac:dyDescent="0.3">
      <c r="A47" s="337"/>
      <c r="B47" s="343" t="s">
        <v>226</v>
      </c>
      <c r="C47" s="337"/>
      <c r="D47" s="328">
        <f>ROUNDUP(((((D6*D21*D22)+(D7*D18))*D34)*D25*D26)-((((D6*D21*D22)+(D7*D18))*D34)*D25*D26*D27),0)</f>
        <v>0</v>
      </c>
      <c r="E47" s="333">
        <f t="shared" ref="E47:F47" si="6">ROUNDUP(((((E6*E21*E22)+(E7*E18))*E34)*E25*E26)-((((E6*E21*E22)+(E7*E18))*E34)*E25*E26*E27),0)</f>
        <v>0</v>
      </c>
      <c r="F47" s="334">
        <f t="shared" si="6"/>
        <v>0</v>
      </c>
    </row>
  </sheetData>
  <sheetProtection sheet="1" formatColumns="0" formatRows="0"/>
  <mergeCells count="10">
    <mergeCell ref="D43:F43"/>
    <mergeCell ref="H44:I44"/>
    <mergeCell ref="B36:C36"/>
    <mergeCell ref="D35:F35"/>
    <mergeCell ref="D30:F30"/>
    <mergeCell ref="D37:F37"/>
    <mergeCell ref="H9:I10"/>
    <mergeCell ref="I18:I19"/>
    <mergeCell ref="D12:F12"/>
    <mergeCell ref="D13:F13"/>
  </mergeCells>
  <conditionalFormatting sqref="B35:C35 B36:F36 C37">
    <cfRule type="expression" dxfId="7" priority="3">
      <formula>$D$31&lt;&gt;"Other"</formula>
    </cfRule>
  </conditionalFormatting>
  <dataValidations count="5">
    <dataValidation type="decimal" allowBlank="1" showInputMessage="1" showErrorMessage="1" sqref="H28:H30 D28" xr:uid="{AE807A0B-EB98-4DAA-8895-2B227EE1CB32}">
      <formula1>0</formula1>
      <formula2>300</formula2>
    </dataValidation>
    <dataValidation type="decimal" allowBlank="1" showInputMessage="1" showErrorMessage="1" sqref="H18:H20 E25:F25 D18 D21:D22 D25:D27 H25:H27" xr:uid="{BC796305-301A-4DF5-9E06-E08DB22FCFE5}">
      <formula1>0</formula1>
      <formula2>1</formula2>
    </dataValidation>
    <dataValidation type="decimal" allowBlank="1" showInputMessage="1" showErrorMessage="1" sqref="D12" xr:uid="{40AE5EBE-3F8F-4231-8969-F457FF45A946}">
      <formula1>0</formula1>
      <formula2>24</formula2>
    </dataValidation>
    <dataValidation type="whole" allowBlank="1" showInputMessage="1" showErrorMessage="1" sqref="D7 C6" xr:uid="{2F1596E6-0D47-422F-9373-68DFA5B5BEE1}">
      <formula1>1</formula1>
      <formula2>1000000</formula2>
    </dataValidation>
    <dataValidation type="decimal" allowBlank="1" showInputMessage="1" showErrorMessage="1" sqref="D36:F36" xr:uid="{A79A55B6-80BF-4287-9ACD-693450A613D9}">
      <formula1>1</formula1>
      <formula2>10000</formula2>
    </dataValidation>
  </dataValidations>
  <hyperlinks>
    <hyperlink ref="I28" r:id="rId1" display="Median weight in ACTA trial" xr:uid="{4DF8008A-BFBB-41F2-B961-67C0B94F00F8}"/>
    <hyperlink ref="I25" r:id="rId2" display="Pooled CrAg positivity rate in REMSTART trial" xr:uid="{45C220AC-A4ED-445C-BB31-534C672ED2A2}"/>
    <hyperlink ref="I26" r:id="rId3" display="Clinical Infectious Disease study showing 50% of CrAg positive individuals were symptomatic for Cryptococcal meningitis" xr:uid="{08D80D3D-1079-4170-BBD1-948384CF1FE9}"/>
    <hyperlink ref="I18" r:id="rId4" display="2017 WHO AHD guidelines estimate 30-40% of new initiates in LMICs start ART with AHD" xr:uid="{CCE668FE-8961-4FD7-AB20-D1440E3D1034}"/>
    <hyperlink ref="I31" r:id="rId5" display="Latest WHO Guidelines" xr:uid="{64551D32-9D0E-4EDD-BA98-4C8DB04B4C95}"/>
  </hyperlinks>
  <pageMargins left="0.7" right="0.7" top="0.75" bottom="0.75" header="0.3" footer="0.3"/>
  <pageSetup orientation="portrait" r:id="rId6"/>
  <extLst>
    <ext xmlns:x14="http://schemas.microsoft.com/office/spreadsheetml/2009/9/main" uri="{CCE6A557-97BC-4b89-ADB6-D9C93CAAB3DF}">
      <x14:dataValidations xmlns:xm="http://schemas.microsoft.com/office/excel/2006/main" count="1">
        <x14:dataValidation type="list" allowBlank="1" showInputMessage="1" showErrorMessage="1" xr:uid="{452F12B6-A0C1-4012-8E10-4ED1E6C56789}">
          <x14:formula1>
            <xm:f>'Backend Calculations'!$N$17:$N$52</xm:f>
          </x14:formula1>
          <xm:sqref>D3</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348E7A-D9C1-4917-A03D-CDE719B95441}">
  <sheetPr>
    <tabColor theme="5" tint="0.79998168889431442"/>
  </sheetPr>
  <dimension ref="B1:M48"/>
  <sheetViews>
    <sheetView showGridLines="0" topLeftCell="A23" zoomScale="80" zoomScaleNormal="80" workbookViewId="0">
      <selection activeCell="B14" sqref="B14"/>
    </sheetView>
  </sheetViews>
  <sheetFormatPr defaultRowHeight="15" x14ac:dyDescent="0.25"/>
  <cols>
    <col min="1" max="1" width="4.140625" customWidth="1"/>
    <col min="2" max="2" width="15.42578125" customWidth="1"/>
    <col min="3" max="3" width="31.5703125" customWidth="1"/>
    <col min="4" max="5" width="14.42578125" customWidth="1"/>
    <col min="6" max="6" width="13" customWidth="1"/>
    <col min="7" max="8" width="14.42578125" customWidth="1"/>
    <col min="9" max="11" width="16.5703125" customWidth="1"/>
    <col min="12" max="12" width="15" customWidth="1"/>
    <col min="13" max="13" width="13.85546875" customWidth="1"/>
    <col min="19" max="19" width="13.42578125" bestFit="1" customWidth="1"/>
    <col min="20" max="20" width="12.7109375" bestFit="1" customWidth="1"/>
    <col min="22" max="22" width="11.7109375" customWidth="1"/>
    <col min="26" max="26" width="12.28515625" customWidth="1"/>
    <col min="27" max="27" width="14.28515625" customWidth="1"/>
    <col min="33" max="34" width="12.5703125" customWidth="1"/>
    <col min="37" max="37" width="14.5703125" customWidth="1"/>
    <col min="38" max="38" width="15" customWidth="1"/>
    <col min="39" max="39" width="14.7109375" customWidth="1"/>
    <col min="41" max="41" width="15" customWidth="1"/>
  </cols>
  <sheetData>
    <row r="1" spans="2:11" s="38" customFormat="1" ht="19.899999999999999" customHeight="1" x14ac:dyDescent="0.25">
      <c r="B1" s="45" t="s">
        <v>94</v>
      </c>
    </row>
    <row r="3" spans="2:11" s="43" customFormat="1" x14ac:dyDescent="0.25">
      <c r="C3" s="44" t="s">
        <v>240</v>
      </c>
    </row>
    <row r="5" spans="2:11" ht="15.75" thickBot="1" x14ac:dyDescent="0.3">
      <c r="G5" s="6" t="s">
        <v>64</v>
      </c>
      <c r="H5" s="83"/>
    </row>
    <row r="6" spans="2:11" ht="15.75" thickBot="1" x14ac:dyDescent="0.3">
      <c r="B6" s="275" t="s">
        <v>242</v>
      </c>
      <c r="C6" s="276"/>
      <c r="D6" s="115" t="s">
        <v>76</v>
      </c>
      <c r="E6" s="115" t="s">
        <v>102</v>
      </c>
      <c r="F6" s="115" t="s">
        <v>248</v>
      </c>
      <c r="G6" s="74" t="s">
        <v>50</v>
      </c>
      <c r="H6" s="116" t="s">
        <v>51</v>
      </c>
      <c r="I6" s="75" t="s">
        <v>52</v>
      </c>
      <c r="J6" s="215"/>
      <c r="K6" s="149"/>
    </row>
    <row r="7" spans="2:11" hidden="1" x14ac:dyDescent="0.25">
      <c r="B7" s="277" t="s">
        <v>58</v>
      </c>
      <c r="C7" s="278"/>
      <c r="D7" s="136">
        <v>100</v>
      </c>
      <c r="E7" s="99">
        <v>779.38</v>
      </c>
      <c r="F7" s="88"/>
      <c r="G7" s="100"/>
      <c r="H7" s="101"/>
      <c r="I7" s="102"/>
      <c r="J7" s="216" t="s">
        <v>160</v>
      </c>
    </row>
    <row r="8" spans="2:11" hidden="1" x14ac:dyDescent="0.25">
      <c r="B8" s="279" t="s">
        <v>60</v>
      </c>
      <c r="C8" s="280"/>
      <c r="D8" s="137">
        <v>50</v>
      </c>
      <c r="E8" s="99">
        <v>291.56</v>
      </c>
      <c r="F8" s="99"/>
      <c r="G8" s="103"/>
      <c r="H8" s="104"/>
      <c r="I8" s="105"/>
      <c r="J8" s="216" t="s">
        <v>159</v>
      </c>
    </row>
    <row r="9" spans="2:11" x14ac:dyDescent="0.25">
      <c r="B9" s="279" t="s">
        <v>61</v>
      </c>
      <c r="C9" s="280"/>
      <c r="D9" s="353">
        <v>100</v>
      </c>
      <c r="E9" s="354">
        <v>760</v>
      </c>
      <c r="F9" s="316">
        <f>E9/D9</f>
        <v>7.6</v>
      </c>
      <c r="G9" s="357">
        <v>0.1</v>
      </c>
      <c r="H9" s="358">
        <v>0.1</v>
      </c>
      <c r="I9" s="359">
        <v>0.1</v>
      </c>
      <c r="J9" s="388" t="s">
        <v>157</v>
      </c>
    </row>
    <row r="10" spans="2:11" x14ac:dyDescent="0.25">
      <c r="B10" s="279" t="s">
        <v>59</v>
      </c>
      <c r="C10" s="280"/>
      <c r="D10" s="353">
        <v>25</v>
      </c>
      <c r="E10" s="354">
        <v>99.5</v>
      </c>
      <c r="F10" s="316">
        <f t="shared" ref="F10:F13" si="0">E10/D10</f>
        <v>3.98</v>
      </c>
      <c r="G10" s="357">
        <v>0.8</v>
      </c>
      <c r="H10" s="358">
        <v>0.8</v>
      </c>
      <c r="I10" s="359">
        <v>0.8</v>
      </c>
      <c r="J10" s="388" t="s">
        <v>158</v>
      </c>
    </row>
    <row r="11" spans="2:11" x14ac:dyDescent="0.25">
      <c r="B11" s="279" t="s">
        <v>62</v>
      </c>
      <c r="C11" s="280"/>
      <c r="D11" s="353">
        <v>100</v>
      </c>
      <c r="E11" s="354">
        <v>480</v>
      </c>
      <c r="F11" s="316">
        <f t="shared" si="0"/>
        <v>4.8</v>
      </c>
      <c r="G11" s="357"/>
      <c r="H11" s="358"/>
      <c r="I11" s="359"/>
      <c r="J11" s="70"/>
    </row>
    <row r="12" spans="2:11" x14ac:dyDescent="0.25">
      <c r="B12" s="279" t="s">
        <v>63</v>
      </c>
      <c r="C12" s="280"/>
      <c r="D12" s="353">
        <v>100</v>
      </c>
      <c r="E12" s="354">
        <v>1000</v>
      </c>
      <c r="F12" s="316">
        <f t="shared" si="0"/>
        <v>10</v>
      </c>
      <c r="G12" s="357">
        <v>0.1</v>
      </c>
      <c r="H12" s="358">
        <v>0.1</v>
      </c>
      <c r="I12" s="359">
        <v>0.1</v>
      </c>
      <c r="J12" s="70"/>
    </row>
    <row r="13" spans="2:11" ht="15.75" thickBot="1" x14ac:dyDescent="0.3">
      <c r="B13" s="351" t="s">
        <v>105</v>
      </c>
      <c r="C13" s="352"/>
      <c r="D13" s="355">
        <v>10</v>
      </c>
      <c r="E13" s="356">
        <v>10</v>
      </c>
      <c r="F13" s="317">
        <f t="shared" si="0"/>
        <v>1</v>
      </c>
      <c r="G13" s="360">
        <f>1-SUM(G7:G12)</f>
        <v>0</v>
      </c>
      <c r="H13" s="310">
        <f>1-SUM(H7:H12)</f>
        <v>0</v>
      </c>
      <c r="I13" s="309">
        <f>1-SUM(I7:I12)</f>
        <v>0</v>
      </c>
      <c r="J13" s="117" t="s">
        <v>73</v>
      </c>
    </row>
    <row r="14" spans="2:11" x14ac:dyDescent="0.25">
      <c r="B14" s="70" t="s">
        <v>231</v>
      </c>
      <c r="E14" s="118"/>
      <c r="F14" s="118"/>
      <c r="G14" s="284" t="str">
        <f>IF(G13&lt;0,"Error: sum cannot be over 100%","")</f>
        <v/>
      </c>
      <c r="H14" s="284" t="str">
        <f>IF(H13&lt;0,"Error: sum cannot be over 100%","")</f>
        <v/>
      </c>
      <c r="I14" s="284" t="str">
        <f>IF(I13&lt;0,"Error: sum cannot be over 100%","")</f>
        <v/>
      </c>
    </row>
    <row r="15" spans="2:11" x14ac:dyDescent="0.25">
      <c r="G15" s="284"/>
      <c r="H15" s="284"/>
      <c r="I15" s="284"/>
    </row>
    <row r="16" spans="2:11" ht="15.75" thickBot="1" x14ac:dyDescent="0.3">
      <c r="H16" s="6" t="s">
        <v>64</v>
      </c>
      <c r="I16" s="83"/>
    </row>
    <row r="17" spans="2:13" ht="15.75" thickBot="1" x14ac:dyDescent="0.3">
      <c r="B17" s="273" t="s">
        <v>241</v>
      </c>
      <c r="C17" s="274"/>
      <c r="D17" s="140" t="s">
        <v>76</v>
      </c>
      <c r="E17" s="141" t="s">
        <v>102</v>
      </c>
      <c r="F17" s="115" t="s">
        <v>248</v>
      </c>
      <c r="G17" s="142" t="s">
        <v>50</v>
      </c>
      <c r="H17" s="143" t="s">
        <v>51</v>
      </c>
      <c r="I17" s="144" t="s">
        <v>52</v>
      </c>
    </row>
    <row r="18" spans="2:13" x14ac:dyDescent="0.25">
      <c r="B18" s="268" t="s">
        <v>125</v>
      </c>
      <c r="C18" s="138" t="s">
        <v>81</v>
      </c>
      <c r="D18" s="361">
        <v>25</v>
      </c>
      <c r="E18" s="362">
        <v>92.5</v>
      </c>
      <c r="F18" s="312">
        <f>E18/D18</f>
        <v>3.7</v>
      </c>
      <c r="G18" s="373">
        <v>0.8</v>
      </c>
      <c r="H18" s="374">
        <v>0.8</v>
      </c>
      <c r="I18" s="375">
        <v>0.8</v>
      </c>
      <c r="J18" s="283"/>
      <c r="K18" s="283"/>
      <c r="L18" s="283"/>
      <c r="M18" s="119"/>
    </row>
    <row r="19" spans="2:13" ht="15.75" thickBot="1" x14ac:dyDescent="0.3">
      <c r="B19" s="269"/>
      <c r="C19" s="139" t="s">
        <v>124</v>
      </c>
      <c r="D19" s="363">
        <v>10</v>
      </c>
      <c r="E19" s="364">
        <v>149</v>
      </c>
      <c r="F19" s="313">
        <f t="shared" ref="F19:F24" si="1">E19/D19</f>
        <v>14.9</v>
      </c>
      <c r="G19" s="376">
        <v>0.2</v>
      </c>
      <c r="H19" s="310">
        <v>0.2</v>
      </c>
      <c r="I19" s="309">
        <v>0.2</v>
      </c>
      <c r="J19" s="283"/>
      <c r="K19" s="283"/>
      <c r="L19" s="283"/>
    </row>
    <row r="20" spans="2:13" x14ac:dyDescent="0.25">
      <c r="B20" s="270" t="s">
        <v>126</v>
      </c>
      <c r="C20" s="281" t="s">
        <v>82</v>
      </c>
      <c r="D20" s="365">
        <v>25</v>
      </c>
      <c r="E20" s="362">
        <v>75</v>
      </c>
      <c r="F20" s="312">
        <f t="shared" si="1"/>
        <v>3</v>
      </c>
      <c r="G20" s="373">
        <v>0.1</v>
      </c>
      <c r="H20" s="374">
        <v>0.1</v>
      </c>
      <c r="I20" s="375">
        <v>0.1</v>
      </c>
      <c r="J20" s="285"/>
      <c r="K20" s="286"/>
      <c r="L20" s="286"/>
    </row>
    <row r="21" spans="2:13" x14ac:dyDescent="0.25">
      <c r="B21" s="271"/>
      <c r="C21" s="282"/>
      <c r="D21" s="366">
        <v>50</v>
      </c>
      <c r="E21" s="367">
        <v>117</v>
      </c>
      <c r="F21" s="314">
        <f t="shared" si="1"/>
        <v>2.34</v>
      </c>
      <c r="G21" s="377">
        <v>0.85</v>
      </c>
      <c r="H21" s="358">
        <v>0.85</v>
      </c>
      <c r="I21" s="359">
        <v>0.85</v>
      </c>
      <c r="J21" s="285"/>
      <c r="K21" s="286"/>
      <c r="L21" s="286"/>
    </row>
    <row r="22" spans="2:13" ht="15.75" thickBot="1" x14ac:dyDescent="0.3">
      <c r="B22" s="272"/>
      <c r="C22" s="139" t="s">
        <v>80</v>
      </c>
      <c r="D22" s="368">
        <v>25</v>
      </c>
      <c r="E22" s="369"/>
      <c r="F22" s="313"/>
      <c r="G22" s="378">
        <v>0.05</v>
      </c>
      <c r="H22" s="379">
        <v>0.05</v>
      </c>
      <c r="I22" s="380">
        <v>0.05</v>
      </c>
      <c r="J22" s="285"/>
      <c r="K22" s="286"/>
      <c r="L22" s="286"/>
    </row>
    <row r="23" spans="2:13" x14ac:dyDescent="0.25">
      <c r="B23" s="268" t="s">
        <v>127</v>
      </c>
      <c r="C23" s="138" t="s">
        <v>161</v>
      </c>
      <c r="D23" s="311"/>
      <c r="E23" s="370"/>
      <c r="F23" s="315"/>
      <c r="G23" s="381"/>
      <c r="H23" s="382"/>
      <c r="I23" s="383"/>
    </row>
    <row r="24" spans="2:13" ht="15.75" thickBot="1" x14ac:dyDescent="0.3">
      <c r="B24" s="269"/>
      <c r="C24" s="139" t="s">
        <v>162</v>
      </c>
      <c r="D24" s="371">
        <v>96</v>
      </c>
      <c r="E24" s="372">
        <v>515.09</v>
      </c>
      <c r="F24" s="313">
        <f t="shared" si="1"/>
        <v>5.365520833333334</v>
      </c>
      <c r="G24" s="376">
        <v>1</v>
      </c>
      <c r="H24" s="310">
        <v>1</v>
      </c>
      <c r="I24" s="309">
        <v>1</v>
      </c>
    </row>
    <row r="26" spans="2:13" s="43" customFormat="1" x14ac:dyDescent="0.25">
      <c r="C26" s="44" t="s">
        <v>57</v>
      </c>
    </row>
    <row r="27" spans="2:13" ht="15.75" thickBot="1" x14ac:dyDescent="0.3">
      <c r="B27" s="9"/>
      <c r="C27" s="196"/>
      <c r="E27" s="149"/>
    </row>
    <row r="28" spans="2:13" ht="14.45" customHeight="1" x14ac:dyDescent="0.25">
      <c r="B28" s="4"/>
      <c r="D28" s="287" t="s">
        <v>93</v>
      </c>
      <c r="E28" s="288"/>
      <c r="F28" s="288"/>
      <c r="G28" s="289"/>
      <c r="H28" s="235" t="s">
        <v>91</v>
      </c>
      <c r="I28" s="236" t="s">
        <v>92</v>
      </c>
    </row>
    <row r="29" spans="2:13" ht="30" x14ac:dyDescent="0.25">
      <c r="B29" s="4"/>
      <c r="D29" s="232" t="s">
        <v>6</v>
      </c>
      <c r="E29" s="21" t="s">
        <v>227</v>
      </c>
      <c r="F29" s="21" t="s">
        <v>229</v>
      </c>
      <c r="G29" s="21" t="s">
        <v>33</v>
      </c>
      <c r="H29" s="21" t="s">
        <v>67</v>
      </c>
      <c r="I29" s="21" t="s">
        <v>67</v>
      </c>
    </row>
    <row r="30" spans="2:13" x14ac:dyDescent="0.25">
      <c r="B30" s="280" t="s">
        <v>198</v>
      </c>
      <c r="C30" s="280"/>
      <c r="D30" s="233" t="s">
        <v>199</v>
      </c>
      <c r="E30" s="234" t="s">
        <v>201</v>
      </c>
      <c r="F30" s="234" t="s">
        <v>201</v>
      </c>
      <c r="G30" s="234" t="s">
        <v>200</v>
      </c>
      <c r="H30" s="234" t="s">
        <v>200</v>
      </c>
      <c r="I30" s="234" t="s">
        <v>200</v>
      </c>
    </row>
    <row r="31" spans="2:13" x14ac:dyDescent="0.25">
      <c r="B31" s="280" t="s">
        <v>202</v>
      </c>
      <c r="C31" s="280"/>
      <c r="D31" s="384">
        <v>100</v>
      </c>
      <c r="E31" s="385">
        <v>1</v>
      </c>
      <c r="F31" s="385">
        <v>1</v>
      </c>
      <c r="G31" s="386">
        <v>1000</v>
      </c>
      <c r="H31" s="234">
        <f>G31</f>
        <v>1000</v>
      </c>
      <c r="I31" s="234">
        <f>H31</f>
        <v>1000</v>
      </c>
    </row>
    <row r="32" spans="2:13" x14ac:dyDescent="0.25">
      <c r="B32" s="280" t="s">
        <v>106</v>
      </c>
      <c r="C32" s="280"/>
      <c r="D32" s="387">
        <v>75</v>
      </c>
      <c r="E32" s="387">
        <v>23</v>
      </c>
      <c r="F32" s="387">
        <v>7.13</v>
      </c>
      <c r="G32" s="387">
        <v>5</v>
      </c>
      <c r="H32" s="325">
        <f>G32</f>
        <v>5</v>
      </c>
      <c r="I32" s="325">
        <f>H32</f>
        <v>5</v>
      </c>
    </row>
    <row r="33" spans="2:9" ht="6.95" customHeight="1" x14ac:dyDescent="0.25"/>
    <row r="34" spans="2:9" x14ac:dyDescent="0.25">
      <c r="B34" s="297" t="s">
        <v>191</v>
      </c>
      <c r="C34" s="298"/>
      <c r="D34" s="295" t="s">
        <v>192</v>
      </c>
      <c r="E34" s="296"/>
      <c r="F34" s="296"/>
      <c r="G34" s="296"/>
      <c r="H34" s="296"/>
      <c r="I34" s="296"/>
    </row>
    <row r="35" spans="2:9" x14ac:dyDescent="0.25">
      <c r="B35" s="290" t="s">
        <v>140</v>
      </c>
      <c r="C35" s="291"/>
      <c r="D35" s="318" t="s">
        <v>204</v>
      </c>
      <c r="E35" s="318" t="s">
        <v>208</v>
      </c>
      <c r="F35" s="319"/>
      <c r="G35" s="318" t="s">
        <v>203</v>
      </c>
      <c r="H35" s="318" t="s">
        <v>206</v>
      </c>
      <c r="I35" s="318" t="s">
        <v>207</v>
      </c>
    </row>
    <row r="36" spans="2:9" x14ac:dyDescent="0.25">
      <c r="B36" s="292" t="s">
        <v>86</v>
      </c>
      <c r="C36" s="293"/>
      <c r="D36" s="320" t="s">
        <v>204</v>
      </c>
      <c r="E36" s="320" t="s">
        <v>209</v>
      </c>
      <c r="F36" s="321"/>
      <c r="G36" s="320" t="s">
        <v>203</v>
      </c>
      <c r="H36" s="320" t="s">
        <v>206</v>
      </c>
      <c r="I36" s="320" t="s">
        <v>207</v>
      </c>
    </row>
    <row r="37" spans="2:9" x14ac:dyDescent="0.25">
      <c r="B37" s="292" t="s">
        <v>85</v>
      </c>
      <c r="C37" s="293"/>
      <c r="D37" s="320" t="s">
        <v>204</v>
      </c>
      <c r="E37" s="321"/>
      <c r="F37" s="321"/>
      <c r="G37" s="320" t="s">
        <v>203</v>
      </c>
      <c r="H37" s="320" t="s">
        <v>206</v>
      </c>
      <c r="I37" s="320" t="s">
        <v>207</v>
      </c>
    </row>
    <row r="38" spans="2:9" ht="29.1" customHeight="1" x14ac:dyDescent="0.25">
      <c r="B38" s="294" t="s">
        <v>226</v>
      </c>
      <c r="C38" s="294"/>
      <c r="D38" s="320" t="s">
        <v>204</v>
      </c>
      <c r="E38" s="321"/>
      <c r="F38" s="320" t="s">
        <v>210</v>
      </c>
      <c r="G38" s="320" t="s">
        <v>203</v>
      </c>
      <c r="H38" s="320" t="s">
        <v>206</v>
      </c>
      <c r="I38" s="320" t="s">
        <v>207</v>
      </c>
    </row>
    <row r="39" spans="2:9" ht="21.6" customHeight="1" x14ac:dyDescent="0.25">
      <c r="B39" s="294" t="s">
        <v>38</v>
      </c>
      <c r="C39" s="294"/>
      <c r="D39" s="321"/>
      <c r="E39" s="321"/>
      <c r="F39" s="321"/>
      <c r="G39" s="320" t="s">
        <v>203</v>
      </c>
      <c r="H39" s="320" t="s">
        <v>206</v>
      </c>
      <c r="I39" s="320" t="s">
        <v>207</v>
      </c>
    </row>
    <row r="40" spans="2:9" ht="12.6" customHeight="1" x14ac:dyDescent="0.25">
      <c r="D40" s="322"/>
      <c r="E40" s="322"/>
      <c r="F40" s="322"/>
      <c r="G40" s="322"/>
      <c r="H40" s="322"/>
      <c r="I40" s="322"/>
    </row>
    <row r="41" spans="2:9" x14ac:dyDescent="0.25">
      <c r="B41" s="297" t="s">
        <v>191</v>
      </c>
      <c r="C41" s="298"/>
      <c r="D41" s="323" t="s">
        <v>193</v>
      </c>
      <c r="E41" s="324"/>
      <c r="F41" s="324"/>
      <c r="G41" s="324"/>
      <c r="H41" s="324"/>
      <c r="I41" s="324"/>
    </row>
    <row r="42" spans="2:9" x14ac:dyDescent="0.25">
      <c r="B42" s="299" t="s">
        <v>140</v>
      </c>
      <c r="C42" s="299"/>
      <c r="D42" s="318">
        <v>14</v>
      </c>
      <c r="E42" s="318">
        <v>1</v>
      </c>
      <c r="F42" s="319"/>
      <c r="G42" s="318">
        <v>14</v>
      </c>
      <c r="H42" s="318">
        <v>56</v>
      </c>
      <c r="I42" s="318">
        <v>365</v>
      </c>
    </row>
    <row r="43" spans="2:9" x14ac:dyDescent="0.25">
      <c r="B43" s="294" t="s">
        <v>86</v>
      </c>
      <c r="C43" s="294"/>
      <c r="D43" s="320">
        <v>7</v>
      </c>
      <c r="E43" s="320">
        <v>7</v>
      </c>
      <c r="F43" s="321"/>
      <c r="G43" s="320">
        <v>7</v>
      </c>
      <c r="H43" s="320">
        <v>56</v>
      </c>
      <c r="I43" s="320">
        <v>365</v>
      </c>
    </row>
    <row r="44" spans="2:9" x14ac:dyDescent="0.25">
      <c r="B44" s="294" t="s">
        <v>85</v>
      </c>
      <c r="C44" s="294"/>
      <c r="D44" s="320">
        <v>14</v>
      </c>
      <c r="E44" s="321"/>
      <c r="F44" s="321"/>
      <c r="G44" s="320">
        <v>14</v>
      </c>
      <c r="H44" s="320">
        <v>56</v>
      </c>
      <c r="I44" s="320">
        <v>365</v>
      </c>
    </row>
    <row r="45" spans="2:9" x14ac:dyDescent="0.25">
      <c r="B45" s="294" t="s">
        <v>226</v>
      </c>
      <c r="C45" s="294"/>
      <c r="D45" s="320">
        <v>7</v>
      </c>
      <c r="E45" s="321"/>
      <c r="F45" s="320">
        <v>7</v>
      </c>
      <c r="G45" s="320">
        <v>7</v>
      </c>
      <c r="H45" s="320">
        <v>56</v>
      </c>
      <c r="I45" s="320">
        <v>365</v>
      </c>
    </row>
    <row r="46" spans="2:9" x14ac:dyDescent="0.25">
      <c r="B46" s="294" t="s">
        <v>38</v>
      </c>
      <c r="C46" s="294"/>
      <c r="D46" s="321"/>
      <c r="E46" s="321"/>
      <c r="F46" s="321"/>
      <c r="G46" s="320">
        <v>14</v>
      </c>
      <c r="H46" s="320">
        <v>56</v>
      </c>
      <c r="I46" s="320">
        <v>365</v>
      </c>
    </row>
    <row r="47" spans="2:9" x14ac:dyDescent="0.25">
      <c r="B47" t="s">
        <v>205</v>
      </c>
      <c r="C47" s="193" t="s">
        <v>95</v>
      </c>
    </row>
    <row r="48" spans="2:9" x14ac:dyDescent="0.25">
      <c r="B48" s="193"/>
    </row>
  </sheetData>
  <sheetProtection sheet="1" formatColumns="0" formatRows="0"/>
  <mergeCells count="36">
    <mergeCell ref="B46:C46"/>
    <mergeCell ref="B45:C45"/>
    <mergeCell ref="D41:I41"/>
    <mergeCell ref="D34:I34"/>
    <mergeCell ref="B34:C34"/>
    <mergeCell ref="B41:C41"/>
    <mergeCell ref="B39:C39"/>
    <mergeCell ref="B37:C37"/>
    <mergeCell ref="B38:C38"/>
    <mergeCell ref="B42:C42"/>
    <mergeCell ref="B43:C43"/>
    <mergeCell ref="B44:C44"/>
    <mergeCell ref="D28:G28"/>
    <mergeCell ref="B35:C35"/>
    <mergeCell ref="B36:C36"/>
    <mergeCell ref="B30:C30"/>
    <mergeCell ref="B31:C31"/>
    <mergeCell ref="B32:C32"/>
    <mergeCell ref="J18:L19"/>
    <mergeCell ref="G14:G15"/>
    <mergeCell ref="H14:H15"/>
    <mergeCell ref="I14:I15"/>
    <mergeCell ref="J20:L22"/>
    <mergeCell ref="B23:B24"/>
    <mergeCell ref="B20:B22"/>
    <mergeCell ref="B18:B19"/>
    <mergeCell ref="B17:C17"/>
    <mergeCell ref="B6:C6"/>
    <mergeCell ref="B7:C7"/>
    <mergeCell ref="B8:C8"/>
    <mergeCell ref="B9:C9"/>
    <mergeCell ref="B10:C10"/>
    <mergeCell ref="B11:C11"/>
    <mergeCell ref="B12:C12"/>
    <mergeCell ref="B13:C13"/>
    <mergeCell ref="C20:C21"/>
  </mergeCells>
  <phoneticPr fontId="26" type="noConversion"/>
  <conditionalFormatting sqref="G13:I13">
    <cfRule type="cellIs" dxfId="6" priority="1" operator="lessThan">
      <formula>0</formula>
    </cfRule>
  </conditionalFormatting>
  <dataValidations count="2">
    <dataValidation type="decimal" allowBlank="1" showInputMessage="1" showErrorMessage="1" sqref="D32 C27" xr:uid="{D778095B-F111-4F11-A669-F36B04929A52}">
      <formula1>1</formula1>
      <formula2>10000</formula2>
    </dataValidation>
    <dataValidation type="whole" allowBlank="1" showInputMessage="1" showErrorMessage="1" sqref="D18:D23" xr:uid="{2F1596E6-0D47-422F-9373-68DFA5B5BEE1}">
      <formula1>1</formula1>
      <formula2>1000000</formula2>
    </dataValidation>
  </dataValidations>
  <hyperlinks>
    <hyperlink ref="C47" r:id="rId1" xr:uid="{2EA7685D-E473-496A-AA67-10127F494940}"/>
  </hyperlinks>
  <pageMargins left="0.7" right="0.7" top="0.75" bottom="0.75" header="0.3" footer="0.3"/>
  <pageSetup orientation="portrait" horizontalDpi="300" verticalDpi="300" r:id="rId2"/>
  <ignoredErrors>
    <ignoredError sqref="G13" unlockedFormula="1"/>
  </ignoredError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BEFD69-2F35-4B58-9ADE-B52EEC9E19B6}">
  <sheetPr>
    <tabColor theme="4"/>
  </sheetPr>
  <dimension ref="B1:M46"/>
  <sheetViews>
    <sheetView showGridLines="0" tabSelected="1" zoomScaleNormal="100" workbookViewId="0">
      <selection activeCell="B46" sqref="B46:E46"/>
    </sheetView>
  </sheetViews>
  <sheetFormatPr defaultRowHeight="15" x14ac:dyDescent="0.25"/>
  <cols>
    <col min="1" max="1" width="2.42578125" customWidth="1"/>
    <col min="2" max="2" width="44.140625" customWidth="1"/>
    <col min="3" max="15" width="15.140625" customWidth="1"/>
  </cols>
  <sheetData>
    <row r="1" spans="2:10" s="38" customFormat="1" ht="19.899999999999999" customHeight="1" x14ac:dyDescent="0.25">
      <c r="B1" s="45" t="s">
        <v>65</v>
      </c>
      <c r="C1" s="45"/>
    </row>
    <row r="2" spans="2:10" ht="14.45" customHeight="1" x14ac:dyDescent="0.25">
      <c r="B2" t="s">
        <v>111</v>
      </c>
    </row>
    <row r="3" spans="2:10" ht="14.45" customHeight="1" x14ac:dyDescent="0.25">
      <c r="B3" s="132" t="s">
        <v>110</v>
      </c>
    </row>
    <row r="4" spans="2:10" ht="14.45" customHeight="1" x14ac:dyDescent="0.25">
      <c r="B4" s="132" t="s">
        <v>112</v>
      </c>
    </row>
    <row r="6" spans="2:10" s="43" customFormat="1" x14ac:dyDescent="0.25">
      <c r="B6" s="44" t="s">
        <v>96</v>
      </c>
      <c r="C6" s="44"/>
    </row>
    <row r="7" spans="2:10" ht="15.75" thickBot="1" x14ac:dyDescent="0.3">
      <c r="C7" s="83"/>
      <c r="D7" s="83" t="s">
        <v>74</v>
      </c>
      <c r="G7" s="83" t="s">
        <v>75</v>
      </c>
      <c r="H7" s="83"/>
      <c r="I7" s="83"/>
      <c r="J7" s="83"/>
    </row>
    <row r="8" spans="2:10" ht="15.75" thickBot="1" x14ac:dyDescent="0.3">
      <c r="B8" s="114" t="s">
        <v>122</v>
      </c>
      <c r="C8" s="74" t="s">
        <v>98</v>
      </c>
      <c r="D8" s="49" t="s">
        <v>99</v>
      </c>
      <c r="E8" s="75" t="s">
        <v>103</v>
      </c>
      <c r="G8" s="50" t="s">
        <v>68</v>
      </c>
      <c r="H8" s="49" t="s">
        <v>69</v>
      </c>
      <c r="I8" s="84" t="s">
        <v>70</v>
      </c>
      <c r="J8" s="85" t="s">
        <v>20</v>
      </c>
    </row>
    <row r="9" spans="2:10" x14ac:dyDescent="0.25">
      <c r="B9" s="160" t="s">
        <v>132</v>
      </c>
      <c r="C9" s="129">
        <f>('Backend Calculations'!E4+'Backend Calculations'!E11)*'General Inputs'!D13</f>
        <v>24333.333333333332</v>
      </c>
      <c r="D9" s="130">
        <f>('Backend Calculations'!E5+'Backend Calculations'!E12)*'General Inputs'!D13</f>
        <v>24491.666666666664</v>
      </c>
      <c r="E9" s="131">
        <f>('Backend Calculations'!E6+'Backend Calculations'!E13)*'General Inputs'!D13</f>
        <v>24642.083333333332</v>
      </c>
      <c r="G9" s="169"/>
      <c r="H9" s="170"/>
      <c r="I9" s="170"/>
      <c r="J9" s="171"/>
    </row>
    <row r="10" spans="2:10" x14ac:dyDescent="0.25">
      <c r="B10" s="159" t="str">
        <f>"TB LAM "&amp;IF('Commodity Inputs'!D18="","",'Commodity Inputs'!D18&amp;"-count packs")</f>
        <v>TB LAM 25-count packs</v>
      </c>
      <c r="C10" s="54">
        <f>IFERROR(ROUNDUP((C$9*'Commodity Inputs'!G18)/'Commodity Inputs'!$D18,0),"")</f>
        <v>779</v>
      </c>
      <c r="D10" s="58">
        <f>IFERROR(ROUNDUP((D$9*'Commodity Inputs'!H18)/'Commodity Inputs'!$D18,0),"")</f>
        <v>784</v>
      </c>
      <c r="E10" s="90">
        <f>IFERROR(ROUNDUP((E$9*'Commodity Inputs'!I18)/'Commodity Inputs'!$D18,0),"")</f>
        <v>789</v>
      </c>
      <c r="G10" s="80">
        <f>IFERROR('Commodity Inputs'!$E18*C10,"")</f>
        <v>72057.5</v>
      </c>
      <c r="H10" s="60">
        <f>IFERROR('Commodity Inputs'!$E18*D10,"")</f>
        <v>72520</v>
      </c>
      <c r="I10" s="61">
        <f>IFERROR('Commodity Inputs'!$E18*E10,"")</f>
        <v>72982.5</v>
      </c>
      <c r="J10" s="86">
        <f>SUM(G10:I10)</f>
        <v>217560</v>
      </c>
    </row>
    <row r="11" spans="2:10" x14ac:dyDescent="0.25">
      <c r="B11" s="159" t="str">
        <f>"GeneXpert "&amp;IF('Commodity Inputs'!D19="","",'Commodity Inputs'!D19&amp;"-count packs")</f>
        <v>GeneXpert 10-count packs</v>
      </c>
      <c r="C11" s="54">
        <f>IFERROR(ROUNDUP((C$9*'Commodity Inputs'!G19)/'Commodity Inputs'!$D19,0),"")</f>
        <v>487</v>
      </c>
      <c r="D11" s="58">
        <f>IFERROR(ROUNDUP((D$9*'Commodity Inputs'!H19)/'Commodity Inputs'!$D19,0),"")</f>
        <v>490</v>
      </c>
      <c r="E11" s="90">
        <f>IFERROR(ROUNDUP((E$9*'Commodity Inputs'!I19)/'Commodity Inputs'!$D19,0),"")</f>
        <v>493</v>
      </c>
      <c r="G11" s="164">
        <f>IFERROR('Commodity Inputs'!$E19*C11,"")</f>
        <v>72563</v>
      </c>
      <c r="H11" s="60">
        <f>IFERROR('Commodity Inputs'!$E19*D11,"")</f>
        <v>73010</v>
      </c>
      <c r="I11" s="172">
        <f>IFERROR('Commodity Inputs'!$E19*E11,"")</f>
        <v>73457</v>
      </c>
      <c r="J11" s="86">
        <f>SUM(G11:I11)</f>
        <v>219030</v>
      </c>
    </row>
    <row r="12" spans="2:10" x14ac:dyDescent="0.25">
      <c r="B12" s="161" t="s">
        <v>133</v>
      </c>
      <c r="C12" s="54">
        <f>('Backend Calculations'!F4+'Backend Calculations'!F11)*'General Inputs'!D13</f>
        <v>24333.333333333332</v>
      </c>
      <c r="D12" s="93">
        <f>('Backend Calculations'!F5+'Backend Calculations'!F12)*'General Inputs'!D13</f>
        <v>24491.666666666664</v>
      </c>
      <c r="E12" s="55">
        <f>('Backend Calculations'!F6+'Backend Calculations'!F13)*'General Inputs'!D13</f>
        <v>24642.083333333332</v>
      </c>
      <c r="G12" s="80"/>
      <c r="H12" s="60"/>
      <c r="I12" s="61"/>
      <c r="J12" s="86"/>
    </row>
    <row r="13" spans="2:10" x14ac:dyDescent="0.25">
      <c r="B13" s="159" t="str">
        <f>"CrAg LFA "&amp;IF('Commodity Inputs'!D20="","",'Commodity Inputs'!D20&amp;"-count packs")</f>
        <v>CrAg LFA 25-count packs</v>
      </c>
      <c r="C13" s="54">
        <f>IFERROR(ROUNDUP((C$12*'Commodity Inputs'!G20)/'Commodity Inputs'!$D20,0),"")</f>
        <v>98</v>
      </c>
      <c r="D13" s="58">
        <f>IFERROR(ROUNDUP((D$12*'Commodity Inputs'!H20)/'Commodity Inputs'!$D20,0),"")</f>
        <v>98</v>
      </c>
      <c r="E13" s="90">
        <f>IFERROR(ROUNDUP((E$12*'Commodity Inputs'!I20)/'Commodity Inputs'!$D20,0),"")</f>
        <v>99</v>
      </c>
      <c r="G13" s="165">
        <f>IFERROR('Commodity Inputs'!$E20*C13,"")</f>
        <v>7350</v>
      </c>
      <c r="H13" s="166">
        <f>IFERROR('Commodity Inputs'!$E20*D13,"")</f>
        <v>7350</v>
      </c>
      <c r="I13" s="167">
        <f>IFERROR('Commodity Inputs'!$E20*E13,"")</f>
        <v>7425</v>
      </c>
      <c r="J13" s="168">
        <f t="shared" ref="J13:J15" si="0">SUM(G13:I13)</f>
        <v>22125</v>
      </c>
    </row>
    <row r="14" spans="2:10" x14ac:dyDescent="0.25">
      <c r="B14" s="159" t="str">
        <f>"CrAg LFA "&amp;IF('Commodity Inputs'!D21="","",'Commodity Inputs'!D21&amp;"-count packs")</f>
        <v>CrAg LFA 50-count packs</v>
      </c>
      <c r="C14" s="54">
        <f>IFERROR(ROUNDUP((C$12*'Commodity Inputs'!G21)/'Commodity Inputs'!$D21,0),"")</f>
        <v>414</v>
      </c>
      <c r="D14" s="58">
        <f>IFERROR(ROUNDUP((D$12*'Commodity Inputs'!H21)/'Commodity Inputs'!$D21,0),"")</f>
        <v>417</v>
      </c>
      <c r="E14" s="90">
        <f>IFERROR(ROUNDUP((E$12*'Commodity Inputs'!I21)/'Commodity Inputs'!$D21,0),"")</f>
        <v>419</v>
      </c>
      <c r="G14" s="80">
        <f>IFERROR('Commodity Inputs'!$E21*C14,"")</f>
        <v>48438</v>
      </c>
      <c r="H14" s="60">
        <f>IFERROR('Commodity Inputs'!$E21*D14,"")</f>
        <v>48789</v>
      </c>
      <c r="I14" s="61">
        <f>IFERROR('Commodity Inputs'!$E21*E14,"")</f>
        <v>49023</v>
      </c>
      <c r="J14" s="86">
        <f t="shared" si="0"/>
        <v>146250</v>
      </c>
    </row>
    <row r="15" spans="2:10" x14ac:dyDescent="0.25">
      <c r="B15" s="159" t="str">
        <f>"CrAg SQ "&amp;IF('Commodity Inputs'!D22="","",'Commodity Inputs'!D22&amp;"-count packs")</f>
        <v>CrAg SQ 25-count packs</v>
      </c>
      <c r="C15" s="54">
        <f>IFERROR(ROUNDUP((C$12*'Commodity Inputs'!G22)/'Commodity Inputs'!$D22,0),"")</f>
        <v>49</v>
      </c>
      <c r="D15" s="93">
        <f>IFERROR(ROUNDUP((D$12*'Commodity Inputs'!H22)/'Commodity Inputs'!$D22,0),"")</f>
        <v>49</v>
      </c>
      <c r="E15" s="90">
        <f>IFERROR(ROUNDUP((E$12*'Commodity Inputs'!I22)/'Commodity Inputs'!$D22,0),"")</f>
        <v>50</v>
      </c>
      <c r="G15" s="80">
        <f>IFERROR('Commodity Inputs'!$E$22*C15,"")</f>
        <v>0</v>
      </c>
      <c r="H15" s="60">
        <f>IFERROR('Commodity Inputs'!$E$22*D15,"")</f>
        <v>0</v>
      </c>
      <c r="I15" s="61">
        <f>IFERROR('Commodity Inputs'!$E$22*E15,"")</f>
        <v>0</v>
      </c>
      <c r="J15" s="86">
        <f t="shared" si="0"/>
        <v>0</v>
      </c>
    </row>
    <row r="16" spans="2:10" x14ac:dyDescent="0.25">
      <c r="B16" s="162" t="s">
        <v>134</v>
      </c>
      <c r="C16" s="54">
        <f>('Backend Calculations'!G4+'Backend Calculations'!G11)*'General Inputs'!D13</f>
        <v>13506.666666666666</v>
      </c>
      <c r="D16" s="93">
        <f>('Backend Calculations'!G5+'Backend Calculations'!G12)*'General Inputs'!$D$13</f>
        <v>13665</v>
      </c>
      <c r="E16" s="90">
        <f>('Backend Calculations'!G6+'Backend Calculations'!G13)*'General Inputs'!$D$13</f>
        <v>13815.416666666666</v>
      </c>
      <c r="G16" s="155"/>
      <c r="H16" s="156"/>
      <c r="I16" s="157"/>
      <c r="J16" s="158"/>
    </row>
    <row r="17" spans="2:13" x14ac:dyDescent="0.25">
      <c r="B17" s="159" t="str">
        <f>"IMMY Histoplasmosis LFA "&amp;IF('Commodity Inputs'!D23="","",'Commodity Inputs'!D23&amp;"-count packs")</f>
        <v xml:space="preserve">IMMY Histoplasmosis LFA </v>
      </c>
      <c r="C17" s="152"/>
      <c r="D17" s="153"/>
      <c r="E17" s="154"/>
      <c r="G17" s="155"/>
      <c r="H17" s="156"/>
      <c r="I17" s="157"/>
      <c r="J17" s="158"/>
    </row>
    <row r="18" spans="2:13" ht="15.75" thickBot="1" x14ac:dyDescent="0.3">
      <c r="B18" s="163" t="str">
        <f>"IMMY Histoplasmosis ELISA "&amp;IF('Commodity Inputs'!D24="","",'Commodity Inputs'!D24&amp;"-well plate")</f>
        <v>IMMY Histoplasmosis ELISA 96-well plate</v>
      </c>
      <c r="C18" s="56">
        <f>IFERROR(ROUNDUP((C$16*'Commodity Inputs'!G24)/'Commodity Inputs'!$D24,0),"")</f>
        <v>141</v>
      </c>
      <c r="D18" s="59">
        <f>IFERROR(ROUNDUP((D$16*'Commodity Inputs'!H24)/'Commodity Inputs'!$D24,0),"")</f>
        <v>143</v>
      </c>
      <c r="E18" s="91">
        <f>IFERROR(ROUNDUP((E$16*'Commodity Inputs'!I24)/'Commodity Inputs'!$D24,0),"")</f>
        <v>144</v>
      </c>
      <c r="F18" s="79"/>
      <c r="G18" s="81">
        <f>IFERROR('Commodity Inputs'!$E$24*C18,"")</f>
        <v>72627.69</v>
      </c>
      <c r="H18" s="81">
        <f>IFERROR('Commodity Inputs'!$E$24*D18,"")</f>
        <v>73657.87000000001</v>
      </c>
      <c r="I18" s="81">
        <f>IFERROR('Commodity Inputs'!$E$24*E18,"")</f>
        <v>74172.960000000006</v>
      </c>
      <c r="J18" s="87">
        <f>SUM(G18:I18)</f>
        <v>220458.52000000002</v>
      </c>
    </row>
    <row r="19" spans="2:13" ht="15.75" thickBot="1" x14ac:dyDescent="0.3"/>
    <row r="20" spans="2:13" ht="15.75" thickBot="1" x14ac:dyDescent="0.3">
      <c r="B20" s="127" t="s">
        <v>108</v>
      </c>
      <c r="C20" s="11"/>
      <c r="D20" s="11"/>
      <c r="E20" s="11"/>
      <c r="F20" s="128" t="s">
        <v>79</v>
      </c>
      <c r="G20" s="82">
        <f>SUM(G9:G18)</f>
        <v>273036.19</v>
      </c>
      <c r="H20" s="67">
        <f>SUM(H9:H18)</f>
        <v>275326.87</v>
      </c>
      <c r="I20" s="68">
        <f>SUM(I9:I18)</f>
        <v>277060.46000000002</v>
      </c>
      <c r="J20" s="69">
        <f>SUM(J9:J18)</f>
        <v>825423.52</v>
      </c>
    </row>
    <row r="23" spans="2:13" s="43" customFormat="1" x14ac:dyDescent="0.25">
      <c r="B23" s="44" t="s">
        <v>97</v>
      </c>
      <c r="C23" s="44"/>
    </row>
    <row r="24" spans="2:13" ht="15.75" thickBot="1" x14ac:dyDescent="0.3">
      <c r="C24" s="76" t="s">
        <v>74</v>
      </c>
      <c r="D24" s="76"/>
      <c r="E24" s="76"/>
      <c r="F24" s="76"/>
      <c r="G24" s="76"/>
      <c r="H24" s="76"/>
    </row>
    <row r="25" spans="2:13" ht="15.75" thickBot="1" x14ac:dyDescent="0.3">
      <c r="C25" s="77" t="s">
        <v>50</v>
      </c>
      <c r="D25" s="78"/>
      <c r="E25" s="77" t="s">
        <v>51</v>
      </c>
      <c r="F25" s="78"/>
      <c r="G25" s="77" t="s">
        <v>52</v>
      </c>
      <c r="H25" s="78"/>
      <c r="J25" s="76" t="s">
        <v>75</v>
      </c>
      <c r="K25" s="76"/>
      <c r="L25" s="76"/>
      <c r="M25" s="76"/>
    </row>
    <row r="26" spans="2:13" ht="15" customHeight="1" thickBot="1" x14ac:dyDescent="0.3">
      <c r="B26" s="133" t="s">
        <v>121</v>
      </c>
      <c r="C26" s="52" t="s">
        <v>119</v>
      </c>
      <c r="D26" s="53" t="s">
        <v>120</v>
      </c>
      <c r="E26" s="52" t="s">
        <v>119</v>
      </c>
      <c r="F26" s="53" t="s">
        <v>120</v>
      </c>
      <c r="G26" s="52" t="s">
        <v>119</v>
      </c>
      <c r="H26" s="53" t="s">
        <v>120</v>
      </c>
      <c r="J26" s="50" t="s">
        <v>68</v>
      </c>
      <c r="K26" s="49" t="s">
        <v>69</v>
      </c>
      <c r="L26" s="48" t="s">
        <v>70</v>
      </c>
      <c r="M26" s="98" t="s">
        <v>20</v>
      </c>
    </row>
    <row r="27" spans="2:13" hidden="1" x14ac:dyDescent="0.25">
      <c r="B27" s="92" t="str">
        <f>IF('Commodity Inputs'!D7="",'Commodity Inputs'!B7&amp;" - no pack size given",'Commodity Inputs'!B7&amp;" - "&amp;'Commodity Inputs'!D7&amp;"-count packs")</f>
        <v>FACSPresto - 100-count packs</v>
      </c>
      <c r="C27" s="54">
        <f>('Backend Calculations'!$B$4+'Backend Calculations'!$B$11)*'Commodity Inputs'!G7</f>
        <v>0</v>
      </c>
      <c r="D27" s="55">
        <f>IFERROR(ROUNDUP(C27/'Commodity Inputs'!$D7,0),"")</f>
        <v>0</v>
      </c>
      <c r="E27" s="54">
        <f>('Backend Calculations'!$B$5+'Backend Calculations'!$B$12)*'Commodity Inputs'!H7</f>
        <v>0</v>
      </c>
      <c r="F27" s="55">
        <f>IFERROR(ROUNDUP(E27/'Commodity Inputs'!$D7,0),"")</f>
        <v>0</v>
      </c>
      <c r="G27" s="54">
        <f>('Backend Calculations'!$B$6+'Backend Calculations'!$B$13)*'Commodity Inputs'!I7</f>
        <v>0</v>
      </c>
      <c r="H27" s="55">
        <f>IFERROR(ROUNDUP(G27/'Commodity Inputs'!$D7,0),"")</f>
        <v>0</v>
      </c>
      <c r="J27" s="94">
        <f>IFERROR('Commodity Inputs'!$E7*D27,"")</f>
        <v>0</v>
      </c>
      <c r="K27" s="95">
        <f>IFERROR('Commodity Inputs'!$E7*F27,"")</f>
        <v>0</v>
      </c>
      <c r="L27" s="96">
        <f>IFERROR('Commodity Inputs'!$E7*H27,"")</f>
        <v>0</v>
      </c>
      <c r="M27" s="97">
        <f t="shared" ref="M27:M33" si="1">SUM(J27:L27)</f>
        <v>0</v>
      </c>
    </row>
    <row r="28" spans="2:13" hidden="1" x14ac:dyDescent="0.25">
      <c r="B28" s="72" t="str">
        <f>IF('Commodity Inputs'!D8="",'Commodity Inputs'!B8&amp;" - no pack size given",'Commodity Inputs'!B8&amp;" - "&amp;'Commodity Inputs'!D8&amp;"-count packs")</f>
        <v>FACSCount - 50-count packs</v>
      </c>
      <c r="C28" s="54">
        <f>('Backend Calculations'!$B$4+'Backend Calculations'!$B$11)*'Commodity Inputs'!G8</f>
        <v>0</v>
      </c>
      <c r="D28" s="55">
        <f>IFERROR(ROUNDUP(C28/'Commodity Inputs'!$D8,0),"")</f>
        <v>0</v>
      </c>
      <c r="E28" s="54">
        <f>('Backend Calculations'!$B$5+'Backend Calculations'!$B$12)*'Commodity Inputs'!H8</f>
        <v>0</v>
      </c>
      <c r="F28" s="55">
        <f>IFERROR(ROUNDUP(E28/'Commodity Inputs'!$D8,0),"")</f>
        <v>0</v>
      </c>
      <c r="G28" s="54">
        <f>('Backend Calculations'!$B$6+'Backend Calculations'!$B$13)*'Commodity Inputs'!I8</f>
        <v>0</v>
      </c>
      <c r="H28" s="55">
        <f>IFERROR(ROUNDUP(G28/'Commodity Inputs'!$D8,0),"")</f>
        <v>0</v>
      </c>
      <c r="J28" s="80">
        <f>IFERROR('Commodity Inputs'!$E8*D28,"")</f>
        <v>0</v>
      </c>
      <c r="K28" s="60">
        <f>IFERROR('Commodity Inputs'!$E8*F28,"")</f>
        <v>0</v>
      </c>
      <c r="L28" s="63">
        <f>IFERROR('Commodity Inputs'!$E8*H28,"")</f>
        <v>0</v>
      </c>
      <c r="M28" s="64">
        <f t="shared" si="1"/>
        <v>0</v>
      </c>
    </row>
    <row r="29" spans="2:13" x14ac:dyDescent="0.25">
      <c r="B29" s="72" t="str">
        <f>IF('Commodity Inputs'!D9="",'Commodity Inputs'!B9&amp;" - no pack size given",'Commodity Inputs'!B9&amp;" - "&amp;'Commodity Inputs'!D9&amp;"-count packs")</f>
        <v>PIMA - 100-count packs</v>
      </c>
      <c r="C29" s="54">
        <f>('Backend Calculations'!$B$4+'Backend Calculations'!$B$11)*'Commodity Inputs'!G9</f>
        <v>5866.6666666666661</v>
      </c>
      <c r="D29" s="55">
        <f>IFERROR(ROUNDUP(C29/'Commodity Inputs'!$D9,0),"")</f>
        <v>59</v>
      </c>
      <c r="E29" s="54">
        <f>('Backend Calculations'!$B$5+'Backend Calculations'!$B$12)*'Commodity Inputs'!H9</f>
        <v>5898.333333333333</v>
      </c>
      <c r="F29" s="55">
        <f>IFERROR(ROUNDUP(E29/'Commodity Inputs'!$D9,0),"")</f>
        <v>59</v>
      </c>
      <c r="G29" s="54">
        <f>('Backend Calculations'!$B$6+'Backend Calculations'!$B$13)*'Commodity Inputs'!I9</f>
        <v>5928.4166666666661</v>
      </c>
      <c r="H29" s="55">
        <f>IFERROR(ROUNDUP(G29/'Commodity Inputs'!$D9,0),"")</f>
        <v>60</v>
      </c>
      <c r="J29" s="80">
        <f>IFERROR('Commodity Inputs'!$E9*D29,"")</f>
        <v>44840</v>
      </c>
      <c r="K29" s="60">
        <f>IFERROR('Commodity Inputs'!$E9*F29,"")</f>
        <v>44840</v>
      </c>
      <c r="L29" s="63">
        <f>IFERROR('Commodity Inputs'!$E9*H29,"")</f>
        <v>45600</v>
      </c>
      <c r="M29" s="64">
        <f t="shared" si="1"/>
        <v>135280</v>
      </c>
    </row>
    <row r="30" spans="2:13" x14ac:dyDescent="0.25">
      <c r="B30" s="72" t="str">
        <f>IF('Commodity Inputs'!D10="",'Commodity Inputs'!B10&amp;" - no pack size given",'Commodity Inputs'!B10&amp;" - "&amp;'Commodity Inputs'!D10&amp;"-count packs")</f>
        <v>VISITECT - 25-count packs</v>
      </c>
      <c r="C30" s="54">
        <f>('Backend Calculations'!$B$4+'Backend Calculations'!$B$11)*'Commodity Inputs'!G10</f>
        <v>46933.333333333328</v>
      </c>
      <c r="D30" s="55">
        <f>IFERROR(ROUNDUP(C30/'Commodity Inputs'!$D10,0),"")</f>
        <v>1878</v>
      </c>
      <c r="E30" s="54">
        <f>('Backend Calculations'!$B$5+'Backend Calculations'!$B$12)*'Commodity Inputs'!H10</f>
        <v>47186.666666666664</v>
      </c>
      <c r="F30" s="55">
        <f>IFERROR(ROUNDUP(E30/'Commodity Inputs'!$D10,0),"")</f>
        <v>1888</v>
      </c>
      <c r="G30" s="54">
        <f>('Backend Calculations'!$B$6+'Backend Calculations'!$B$13)*'Commodity Inputs'!I10</f>
        <v>47427.333333333328</v>
      </c>
      <c r="H30" s="55">
        <f>IFERROR(ROUNDUP(G30/'Commodity Inputs'!$D10,0),"")</f>
        <v>1898</v>
      </c>
      <c r="J30" s="80">
        <f>IFERROR('Commodity Inputs'!$E10*D30,"")</f>
        <v>186861</v>
      </c>
      <c r="K30" s="60">
        <f>IFERROR('Commodity Inputs'!$E10*F30,"")</f>
        <v>187856</v>
      </c>
      <c r="L30" s="63">
        <f>IFERROR('Commodity Inputs'!$E10*H30,"")</f>
        <v>188851</v>
      </c>
      <c r="M30" s="64">
        <f t="shared" si="1"/>
        <v>563568</v>
      </c>
    </row>
    <row r="31" spans="2:13" x14ac:dyDescent="0.25">
      <c r="B31" s="72" t="str">
        <f>IF('Commodity Inputs'!D11="",'Commodity Inputs'!B11&amp;" - no pack size given",'Commodity Inputs'!B11&amp;" - "&amp;'Commodity Inputs'!D11&amp;"-count packs")</f>
        <v>CyFlow Counter - 100-count packs</v>
      </c>
      <c r="C31" s="54">
        <f>('Backend Calculations'!$B$4+'Backend Calculations'!$B$11)*'Commodity Inputs'!G11</f>
        <v>0</v>
      </c>
      <c r="D31" s="55">
        <f>IFERROR(ROUNDUP(C31/'Commodity Inputs'!$D11,0),"")</f>
        <v>0</v>
      </c>
      <c r="E31" s="54">
        <f>('Backend Calculations'!$B$5+'Backend Calculations'!$B$12)*'Commodity Inputs'!H11</f>
        <v>0</v>
      </c>
      <c r="F31" s="55">
        <f>IFERROR(ROUNDUP(E31/'Commodity Inputs'!$D11,0),"")</f>
        <v>0</v>
      </c>
      <c r="G31" s="54">
        <f>('Backend Calculations'!$B$6+'Backend Calculations'!$B$13)*'Commodity Inputs'!I11</f>
        <v>0</v>
      </c>
      <c r="H31" s="55">
        <f>IFERROR(ROUNDUP(G31/'Commodity Inputs'!$D11,0),"")</f>
        <v>0</v>
      </c>
      <c r="J31" s="80">
        <f>IFERROR('Commodity Inputs'!$E11*D31,"")</f>
        <v>0</v>
      </c>
      <c r="K31" s="60">
        <f>IFERROR('Commodity Inputs'!$E11*F31,"")</f>
        <v>0</v>
      </c>
      <c r="L31" s="63">
        <f>IFERROR('Commodity Inputs'!$E11*H31,"")</f>
        <v>0</v>
      </c>
      <c r="M31" s="64">
        <f t="shared" si="1"/>
        <v>0</v>
      </c>
    </row>
    <row r="32" spans="2:13" x14ac:dyDescent="0.25">
      <c r="B32" s="72" t="str">
        <f>IF('Commodity Inputs'!D12="",'Commodity Inputs'!B12&amp;" - no pack size given",'Commodity Inputs'!B12&amp;" - "&amp;'Commodity Inputs'!D12&amp;"-count packs")</f>
        <v>Aquios CL Flow - 100-count packs</v>
      </c>
      <c r="C32" s="54">
        <f>('Backend Calculations'!$B$4+'Backend Calculations'!$B$11)*'Commodity Inputs'!G12</f>
        <v>5866.6666666666661</v>
      </c>
      <c r="D32" s="55">
        <f>IFERROR(ROUNDUP(C32/'Commodity Inputs'!$D12,0),"")</f>
        <v>59</v>
      </c>
      <c r="E32" s="54">
        <f>('Backend Calculations'!$B$5+'Backend Calculations'!$B$12)*'Commodity Inputs'!H12</f>
        <v>5898.333333333333</v>
      </c>
      <c r="F32" s="55">
        <f>IFERROR(ROUNDUP(E32/'Commodity Inputs'!$D12,0),"")</f>
        <v>59</v>
      </c>
      <c r="G32" s="54">
        <f>('Backend Calculations'!$B$6+'Backend Calculations'!$B$13)*'Commodity Inputs'!I12</f>
        <v>5928.4166666666661</v>
      </c>
      <c r="H32" s="55">
        <f>IFERROR(ROUNDUP(G32/'Commodity Inputs'!$D12,0),"")</f>
        <v>60</v>
      </c>
      <c r="J32" s="80">
        <f>IFERROR('Commodity Inputs'!$E12*D32,"")</f>
        <v>59000</v>
      </c>
      <c r="K32" s="60">
        <f>IFERROR('Commodity Inputs'!$E12*F32,"")</f>
        <v>59000</v>
      </c>
      <c r="L32" s="63">
        <f>IFERROR('Commodity Inputs'!$E12*H32,"")</f>
        <v>60000</v>
      </c>
      <c r="M32" s="64">
        <f t="shared" si="1"/>
        <v>178000</v>
      </c>
    </row>
    <row r="33" spans="2:13" ht="15.75" thickBot="1" x14ac:dyDescent="0.3">
      <c r="B33" s="73" t="str">
        <f>IF('Commodity Inputs'!D13="",'Commodity Inputs'!B13&amp;" - no pack size given",'Commodity Inputs'!B13&amp;" - "&amp;'Commodity Inputs'!D13&amp;"-count packs")</f>
        <v>Other (user to fill in) - 10-count packs</v>
      </c>
      <c r="C33" s="56">
        <f>('Backend Calculations'!$B$4+'Backend Calculations'!$B$11)*'Commodity Inputs'!G13</f>
        <v>0</v>
      </c>
      <c r="D33" s="57">
        <f>IFERROR(ROUNDUP(C33/'Commodity Inputs'!$D13,0),"")</f>
        <v>0</v>
      </c>
      <c r="E33" s="56">
        <f>('Backend Calculations'!$B$5+'Backend Calculations'!$B$12)*'Commodity Inputs'!H13</f>
        <v>0</v>
      </c>
      <c r="F33" s="57">
        <f>IFERROR(ROUNDUP(E33/'Commodity Inputs'!$D13,0),"")</f>
        <v>0</v>
      </c>
      <c r="G33" s="56">
        <f>('Backend Calculations'!$B$6+'Backend Calculations'!$B$13)*'Commodity Inputs'!I13</f>
        <v>0</v>
      </c>
      <c r="H33" s="57">
        <f>IFERROR(ROUNDUP(G33/'Commodity Inputs'!$D13,0),"")</f>
        <v>0</v>
      </c>
      <c r="J33" s="81">
        <f>IFERROR('Commodity Inputs'!$E13*D33,"")</f>
        <v>0</v>
      </c>
      <c r="K33" s="62">
        <f>IFERROR('Commodity Inputs'!$E13*F33,"")</f>
        <v>0</v>
      </c>
      <c r="L33" s="65">
        <f>IFERROR('Commodity Inputs'!$E13*H33,"")</f>
        <v>0</v>
      </c>
      <c r="M33" s="66">
        <f t="shared" si="1"/>
        <v>0</v>
      </c>
    </row>
    <row r="34" spans="2:13" ht="15.75" thickBot="1" x14ac:dyDescent="0.3"/>
    <row r="35" spans="2:13" ht="15.75" thickBot="1" x14ac:dyDescent="0.3">
      <c r="B35" s="70" t="s">
        <v>108</v>
      </c>
      <c r="I35" s="79" t="s">
        <v>79</v>
      </c>
      <c r="J35" s="82">
        <f>SUM(J27:J33)</f>
        <v>290701</v>
      </c>
      <c r="K35" s="67">
        <f>SUM(K27:K33)</f>
        <v>291696</v>
      </c>
      <c r="L35" s="68">
        <f>SUM(L27:L33)</f>
        <v>294451</v>
      </c>
      <c r="M35" s="69">
        <f>SUM(M27:M33)</f>
        <v>876848</v>
      </c>
    </row>
    <row r="37" spans="2:13" s="43" customFormat="1" x14ac:dyDescent="0.25">
      <c r="B37" s="44" t="s">
        <v>66</v>
      </c>
      <c r="C37" s="44"/>
    </row>
    <row r="38" spans="2:13" ht="15.75" thickBot="1" x14ac:dyDescent="0.3">
      <c r="C38" s="83" t="s">
        <v>74</v>
      </c>
      <c r="D38" s="83"/>
      <c r="E38" s="83"/>
      <c r="G38" s="83" t="s">
        <v>75</v>
      </c>
      <c r="H38" s="83"/>
      <c r="I38" s="83"/>
      <c r="J38" s="83"/>
    </row>
    <row r="39" spans="2:13" x14ac:dyDescent="0.25">
      <c r="B39" s="145" t="s">
        <v>123</v>
      </c>
      <c r="C39" s="124" t="s">
        <v>98</v>
      </c>
      <c r="D39" s="124" t="s">
        <v>99</v>
      </c>
      <c r="E39" s="125" t="s">
        <v>100</v>
      </c>
      <c r="G39" s="205" t="s">
        <v>68</v>
      </c>
      <c r="H39" s="124" t="s">
        <v>69</v>
      </c>
      <c r="I39" s="124" t="s">
        <v>70</v>
      </c>
      <c r="J39" s="125" t="s">
        <v>20</v>
      </c>
    </row>
    <row r="40" spans="2:13" x14ac:dyDescent="0.25">
      <c r="B40" s="146" t="str">
        <f>"5FC "&amp;'Reference Sheet'!C6&amp;"mg"&amp;" - "&amp;'Reference Sheet'!C9&amp;"-count pack"</f>
        <v>5FC 500mg - 100-count pack</v>
      </c>
      <c r="C40" s="93">
        <f>'Backend Calculations'!M20</f>
        <v>540</v>
      </c>
      <c r="D40" s="93">
        <f>'Backend Calculations'!N20</f>
        <v>543</v>
      </c>
      <c r="E40" s="55">
        <f>'Backend Calculations'!O20</f>
        <v>546</v>
      </c>
      <c r="G40" s="80">
        <f>C40*'Commodity Inputs'!$D32</f>
        <v>40500</v>
      </c>
      <c r="H40" s="60">
        <f>D40*'Commodity Inputs'!$D32</f>
        <v>40725</v>
      </c>
      <c r="I40" s="60">
        <f>E40*'Commodity Inputs'!$D32</f>
        <v>40950</v>
      </c>
      <c r="J40" s="206">
        <f>SUM(G40:I40)</f>
        <v>122175</v>
      </c>
    </row>
    <row r="41" spans="2:13" x14ac:dyDescent="0.25">
      <c r="B41" s="146" t="str">
        <f>"Fluconazole "&amp;'Reference Sheet'!E6&amp;"mg"&amp;" - "&amp;'Reference Sheet'!E9&amp;"-count pack"</f>
        <v>Fluconazole 200mg - 1000-count pack</v>
      </c>
      <c r="C41" s="93">
        <f>'Backend Calculations'!M21</f>
        <v>1578</v>
      </c>
      <c r="D41" s="93">
        <f>'Backend Calculations'!N21</f>
        <v>1590</v>
      </c>
      <c r="E41" s="55">
        <f>'Backend Calculations'!O21</f>
        <v>546</v>
      </c>
      <c r="G41" s="80">
        <f>C41*'Commodity Inputs'!$G32</f>
        <v>7890</v>
      </c>
      <c r="H41" s="60">
        <f>D41*'Commodity Inputs'!$G32</f>
        <v>7950</v>
      </c>
      <c r="I41" s="60">
        <f>E41*'Commodity Inputs'!$G32</f>
        <v>2730</v>
      </c>
      <c r="J41" s="206">
        <f>SUM(G41:I41)</f>
        <v>18570</v>
      </c>
    </row>
    <row r="42" spans="2:13" x14ac:dyDescent="0.25">
      <c r="B42" s="146" t="str">
        <f>"L-AmB - "&amp;'Reference Sheet'!D10&amp;"mg vials"</f>
        <v>L-AmB - 50mg vials</v>
      </c>
      <c r="C42" s="93">
        <f>'Backend Calculations'!M22</f>
        <v>5580</v>
      </c>
      <c r="D42" s="93">
        <f>'Backend Calculations'!N22</f>
        <v>5611</v>
      </c>
      <c r="E42" s="55">
        <f>'Backend Calculations'!O22</f>
        <v>5642</v>
      </c>
      <c r="G42" s="80">
        <f>C42*'Commodity Inputs'!$E32</f>
        <v>128340</v>
      </c>
      <c r="H42" s="60">
        <f>D42*'Commodity Inputs'!$E32</f>
        <v>129053</v>
      </c>
      <c r="I42" s="60">
        <f>E42*'Commodity Inputs'!$E32</f>
        <v>129766</v>
      </c>
      <c r="J42" s="206">
        <f>SUM(G42:I42)</f>
        <v>387159</v>
      </c>
    </row>
    <row r="43" spans="2:13" ht="15.75" thickBot="1" x14ac:dyDescent="0.3">
      <c r="B43" s="214" t="s">
        <v>230</v>
      </c>
      <c r="C43" s="204">
        <f>'Backend Calculations'!M23</f>
        <v>0</v>
      </c>
      <c r="D43" s="204">
        <f>'Backend Calculations'!N23</f>
        <v>0</v>
      </c>
      <c r="E43" s="57">
        <f>'Backend Calculations'!O23</f>
        <v>0</v>
      </c>
      <c r="G43" s="207">
        <f>C43*'Commodity Inputs'!$F32</f>
        <v>0</v>
      </c>
      <c r="H43" s="207">
        <f>D43*'Commodity Inputs'!$F32</f>
        <v>0</v>
      </c>
      <c r="I43" s="207">
        <f>E43*'Commodity Inputs'!$F32</f>
        <v>0</v>
      </c>
      <c r="J43" s="206">
        <f>SUM(G43:I43)</f>
        <v>0</v>
      </c>
    </row>
    <row r="44" spans="2:13" ht="15.75" thickBot="1" x14ac:dyDescent="0.3"/>
    <row r="45" spans="2:13" ht="15.75" thickBot="1" x14ac:dyDescent="0.3">
      <c r="B45" s="70" t="s">
        <v>250</v>
      </c>
      <c r="F45" s="79" t="s">
        <v>79</v>
      </c>
      <c r="G45" s="69">
        <f t="shared" ref="G45:I45" si="2">SUM(G40:G43)</f>
        <v>176730</v>
      </c>
      <c r="H45" s="69">
        <f t="shared" si="2"/>
        <v>177728</v>
      </c>
      <c r="I45" s="69">
        <f t="shared" si="2"/>
        <v>173446</v>
      </c>
      <c r="J45" s="69">
        <f>SUM(J40:J43)</f>
        <v>527904</v>
      </c>
    </row>
    <row r="46" spans="2:13" ht="30" customHeight="1" x14ac:dyDescent="0.25">
      <c r="B46" s="300" t="s">
        <v>232</v>
      </c>
      <c r="C46" s="300"/>
      <c r="D46" s="300"/>
      <c r="E46" s="300"/>
      <c r="F46" s="79"/>
      <c r="G46" s="79"/>
      <c r="H46" s="79"/>
      <c r="I46" s="79"/>
      <c r="J46" s="79"/>
    </row>
  </sheetData>
  <sheetProtection sheet="1" formatColumns="0" formatRows="0"/>
  <mergeCells count="1">
    <mergeCell ref="B46:E46"/>
  </mergeCells>
  <conditionalFormatting sqref="C9:E18 G40:J42 C40:E43 J43">
    <cfRule type="expression" dxfId="5" priority="6">
      <formula>C9=0</formula>
    </cfRule>
  </conditionalFormatting>
  <conditionalFormatting sqref="C27:H33 J27:M33">
    <cfRule type="expression" dxfId="4" priority="10">
      <formula>C27=0</formula>
    </cfRule>
  </conditionalFormatting>
  <conditionalFormatting sqref="G10:J12 J13:J15 G14:I15 G16:J18">
    <cfRule type="expression" dxfId="3" priority="4">
      <formula>G10=0</formula>
    </cfRule>
  </conditionalFormatting>
  <conditionalFormatting sqref="G20:J20">
    <cfRule type="expression" dxfId="2" priority="1">
      <formula>G20=0</formula>
    </cfRule>
  </conditionalFormatting>
  <conditionalFormatting sqref="G45:J45">
    <cfRule type="expression" dxfId="1" priority="3">
      <formula>G45=0</formula>
    </cfRule>
  </conditionalFormatting>
  <conditionalFormatting sqref="J35:M35">
    <cfRule type="expression" dxfId="0" priority="2">
      <formula>J35=0</formula>
    </cfRule>
  </conditionalFormatting>
  <pageMargins left="0.7" right="0.7" top="0.75" bottom="0.75" header="0.3" footer="0.3"/>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395442-4AFF-4227-A6A7-271117E1610A}">
  <dimension ref="B1:U34"/>
  <sheetViews>
    <sheetView zoomScale="91" zoomScaleNormal="91" workbookViewId="0">
      <selection activeCell="C8" sqref="C8"/>
    </sheetView>
  </sheetViews>
  <sheetFormatPr defaultColWidth="9.140625" defaultRowHeight="15" x14ac:dyDescent="0.25"/>
  <cols>
    <col min="1" max="1" width="9.140625" style="4"/>
    <col min="2" max="2" width="48.140625" style="4" customWidth="1"/>
    <col min="3" max="3" width="10.28515625" style="4" customWidth="1"/>
    <col min="4" max="5" width="9.140625" style="4"/>
    <col min="6" max="6" width="13.85546875" style="4" customWidth="1"/>
    <col min="7" max="7" width="14" style="4" customWidth="1"/>
    <col min="8" max="8" width="12.42578125" style="4" customWidth="1"/>
    <col min="9" max="9" width="13.42578125" style="4" customWidth="1"/>
    <col min="10" max="10" width="9.140625" style="4"/>
    <col min="11" max="11" width="20.140625" style="4" customWidth="1"/>
    <col min="12" max="12" width="11.42578125" style="4" customWidth="1"/>
    <col min="13" max="13" width="13" style="4" customWidth="1"/>
    <col min="14" max="14" width="13.42578125" style="4" customWidth="1"/>
    <col min="15" max="16" width="9.140625" style="4"/>
    <col min="17" max="17" width="15.42578125" style="4" customWidth="1"/>
    <col min="18" max="18" width="14" style="4" customWidth="1"/>
    <col min="19" max="19" width="13.42578125" style="4" bestFit="1" customWidth="1"/>
    <col min="20" max="20" width="12.7109375" style="4" bestFit="1" customWidth="1"/>
    <col min="21" max="16384" width="9.140625" style="4"/>
  </cols>
  <sheetData>
    <row r="1" spans="2:21" x14ac:dyDescent="0.25">
      <c r="D1" s="193" t="s">
        <v>95</v>
      </c>
    </row>
    <row r="3" spans="2:21" ht="15.75" thickBot="1" x14ac:dyDescent="0.3">
      <c r="B3" s="194" t="s">
        <v>84</v>
      </c>
      <c r="I3" s="194" t="s">
        <v>86</v>
      </c>
      <c r="Q3" s="195" t="s">
        <v>38</v>
      </c>
    </row>
    <row r="4" spans="2:21" x14ac:dyDescent="0.25">
      <c r="B4" s="181"/>
      <c r="C4" s="305" t="s">
        <v>93</v>
      </c>
      <c r="D4" s="306"/>
      <c r="E4" s="307"/>
      <c r="F4" s="135" t="s">
        <v>91</v>
      </c>
      <c r="G4" s="106" t="s">
        <v>92</v>
      </c>
      <c r="J4" s="305" t="s">
        <v>93</v>
      </c>
      <c r="K4" s="306"/>
      <c r="L4" s="307"/>
      <c r="M4" s="135" t="s">
        <v>91</v>
      </c>
      <c r="N4" s="106" t="s">
        <v>92</v>
      </c>
      <c r="R4" s="148" t="s">
        <v>87</v>
      </c>
      <c r="S4" s="148" t="s">
        <v>91</v>
      </c>
      <c r="T4" s="148" t="s">
        <v>92</v>
      </c>
    </row>
    <row r="5" spans="2:21" ht="45.75" thickBot="1" x14ac:dyDescent="0.3">
      <c r="B5" s="182"/>
      <c r="C5" s="22" t="s">
        <v>6</v>
      </c>
      <c r="D5" s="21" t="s">
        <v>41</v>
      </c>
      <c r="E5" s="23" t="s">
        <v>67</v>
      </c>
      <c r="F5" s="147" t="s">
        <v>67</v>
      </c>
      <c r="G5" s="23" t="s">
        <v>67</v>
      </c>
      <c r="I5" s="192"/>
      <c r="J5" s="22" t="s">
        <v>6</v>
      </c>
      <c r="K5" s="21" t="s">
        <v>41</v>
      </c>
      <c r="L5" s="23" t="s">
        <v>33</v>
      </c>
      <c r="M5" s="147" t="s">
        <v>67</v>
      </c>
      <c r="N5" s="23" t="s">
        <v>67</v>
      </c>
      <c r="R5" s="173" t="s">
        <v>67</v>
      </c>
      <c r="S5" s="174" t="s">
        <v>67</v>
      </c>
      <c r="T5" s="175" t="s">
        <v>67</v>
      </c>
    </row>
    <row r="6" spans="2:21" ht="30" x14ac:dyDescent="0.25">
      <c r="B6" s="40" t="s">
        <v>4</v>
      </c>
      <c r="C6" s="183">
        <v>500</v>
      </c>
      <c r="D6" s="108"/>
      <c r="E6" s="184">
        <v>200</v>
      </c>
      <c r="F6" s="179">
        <f>E6</f>
        <v>200</v>
      </c>
      <c r="G6" s="110">
        <f>F6</f>
        <v>200</v>
      </c>
      <c r="I6" s="40" t="s">
        <v>4</v>
      </c>
      <c r="J6" s="183">
        <v>500</v>
      </c>
      <c r="K6" s="108"/>
      <c r="L6" s="184">
        <v>200</v>
      </c>
      <c r="M6" s="179">
        <f>L6</f>
        <v>200</v>
      </c>
      <c r="N6" s="110">
        <f>M6</f>
        <v>200</v>
      </c>
      <c r="Q6" s="107" t="s">
        <v>4</v>
      </c>
      <c r="R6" s="210">
        <v>200</v>
      </c>
      <c r="S6" s="209">
        <v>200</v>
      </c>
      <c r="T6" s="109">
        <v>200</v>
      </c>
    </row>
    <row r="7" spans="2:21" ht="90" x14ac:dyDescent="0.25">
      <c r="B7" s="41" t="s">
        <v>154</v>
      </c>
      <c r="C7" s="183">
        <v>100</v>
      </c>
      <c r="D7" s="185">
        <v>10</v>
      </c>
      <c r="E7" s="186">
        <v>1200</v>
      </c>
      <c r="F7" s="183">
        <v>800</v>
      </c>
      <c r="G7" s="184">
        <v>200</v>
      </c>
      <c r="I7" s="41" t="s">
        <v>154</v>
      </c>
      <c r="J7" s="183">
        <v>100</v>
      </c>
      <c r="K7" s="185">
        <v>3</v>
      </c>
      <c r="L7" s="186">
        <v>1200</v>
      </c>
      <c r="M7" s="183">
        <v>800</v>
      </c>
      <c r="N7" s="184">
        <v>200</v>
      </c>
      <c r="Q7" s="111" t="s">
        <v>154</v>
      </c>
      <c r="R7" s="211">
        <v>800</v>
      </c>
      <c r="S7" s="188">
        <v>800</v>
      </c>
      <c r="T7" s="186">
        <v>200</v>
      </c>
    </row>
    <row r="8" spans="2:21" ht="30" x14ac:dyDescent="0.25">
      <c r="B8" s="41" t="s">
        <v>3</v>
      </c>
      <c r="C8" s="183">
        <v>14</v>
      </c>
      <c r="D8" s="185">
        <v>1</v>
      </c>
      <c r="E8" s="184">
        <v>14</v>
      </c>
      <c r="F8" s="183">
        <v>56</v>
      </c>
      <c r="G8" s="184">
        <v>365</v>
      </c>
      <c r="I8" s="41" t="s">
        <v>3</v>
      </c>
      <c r="J8" s="183">
        <v>7</v>
      </c>
      <c r="K8" s="185">
        <v>7</v>
      </c>
      <c r="L8" s="184">
        <v>7</v>
      </c>
      <c r="M8" s="183">
        <v>56</v>
      </c>
      <c r="N8" s="184">
        <v>365</v>
      </c>
      <c r="Q8" s="111" t="s">
        <v>3</v>
      </c>
      <c r="R8" s="212">
        <v>14</v>
      </c>
      <c r="S8" s="188">
        <v>56</v>
      </c>
      <c r="T8" s="185">
        <v>365</v>
      </c>
    </row>
    <row r="9" spans="2:21" x14ac:dyDescent="0.25">
      <c r="B9" s="41" t="s">
        <v>23</v>
      </c>
      <c r="C9" s="183">
        <v>100</v>
      </c>
      <c r="D9" s="108"/>
      <c r="E9" s="184">
        <f>'Commodity Inputs'!$G$31</f>
        <v>1000</v>
      </c>
      <c r="F9" s="222">
        <f>'Commodity Inputs'!$G$31</f>
        <v>1000</v>
      </c>
      <c r="G9" s="184">
        <f>'Commodity Inputs'!$G$31</f>
        <v>1000</v>
      </c>
      <c r="I9" s="41" t="s">
        <v>23</v>
      </c>
      <c r="J9" s="183">
        <v>100</v>
      </c>
      <c r="K9" s="108"/>
      <c r="L9" s="184">
        <f>'Commodity Inputs'!$G$31</f>
        <v>1000</v>
      </c>
      <c r="M9" s="222">
        <f>'Commodity Inputs'!$G$31</f>
        <v>1000</v>
      </c>
      <c r="N9" s="184">
        <f>'Commodity Inputs'!$G$31</f>
        <v>1000</v>
      </c>
      <c r="Q9" s="111" t="s">
        <v>23</v>
      </c>
      <c r="R9" s="184">
        <f>'Commodity Inputs'!$G$31</f>
        <v>1000</v>
      </c>
      <c r="S9" s="222">
        <f>'Commodity Inputs'!$G$31</f>
        <v>1000</v>
      </c>
      <c r="T9" s="184">
        <f>'Commodity Inputs'!$G$31</f>
        <v>1000</v>
      </c>
    </row>
    <row r="10" spans="2:21" ht="30.75" thickBot="1" x14ac:dyDescent="0.3">
      <c r="B10" s="42" t="s">
        <v>56</v>
      </c>
      <c r="C10" s="180"/>
      <c r="D10" s="189">
        <v>50</v>
      </c>
      <c r="E10" s="112"/>
      <c r="F10" s="180"/>
      <c r="G10" s="112"/>
      <c r="I10" s="42" t="s">
        <v>56</v>
      </c>
      <c r="J10" s="180"/>
      <c r="K10" s="189">
        <v>50</v>
      </c>
      <c r="L10" s="112"/>
      <c r="M10" s="180"/>
      <c r="N10" s="112"/>
      <c r="Q10" s="113" t="s">
        <v>56</v>
      </c>
      <c r="R10" s="213"/>
      <c r="S10" s="187"/>
      <c r="T10" s="108"/>
    </row>
    <row r="14" spans="2:21" ht="15.75" thickBot="1" x14ac:dyDescent="0.3">
      <c r="B14" s="195" t="s">
        <v>85</v>
      </c>
      <c r="I14" s="195" t="s">
        <v>135</v>
      </c>
      <c r="Q14" s="195" t="s">
        <v>167</v>
      </c>
      <c r="R14" s="195"/>
      <c r="S14" s="195"/>
      <c r="T14" s="195"/>
      <c r="U14" s="195"/>
    </row>
    <row r="15" spans="2:21" ht="45" customHeight="1" x14ac:dyDescent="0.25">
      <c r="C15" s="305" t="s">
        <v>93</v>
      </c>
      <c r="D15" s="306"/>
      <c r="E15" s="307"/>
      <c r="F15" s="135" t="s">
        <v>91</v>
      </c>
      <c r="G15" s="106" t="s">
        <v>92</v>
      </c>
      <c r="J15" s="305" t="s">
        <v>93</v>
      </c>
      <c r="K15" s="306"/>
      <c r="L15" s="307"/>
      <c r="M15" s="135" t="s">
        <v>91</v>
      </c>
      <c r="N15" s="106" t="s">
        <v>92</v>
      </c>
      <c r="Q15" s="223" t="s">
        <v>168</v>
      </c>
      <c r="R15" s="223" t="s">
        <v>178</v>
      </c>
      <c r="S15" s="223" t="s">
        <v>189</v>
      </c>
      <c r="T15" s="223" t="s">
        <v>179</v>
      </c>
      <c r="U15" s="195"/>
    </row>
    <row r="16" spans="2:21" ht="60.75" thickBot="1" x14ac:dyDescent="0.3">
      <c r="B16" s="192"/>
      <c r="C16" s="22" t="s">
        <v>6</v>
      </c>
      <c r="D16" s="21" t="s">
        <v>41</v>
      </c>
      <c r="E16" s="23" t="s">
        <v>33</v>
      </c>
      <c r="F16" s="147" t="s">
        <v>67</v>
      </c>
      <c r="G16" s="23" t="s">
        <v>67</v>
      </c>
      <c r="I16" s="192"/>
      <c r="J16" s="22" t="s">
        <v>6</v>
      </c>
      <c r="K16" s="21" t="s">
        <v>128</v>
      </c>
      <c r="L16" s="23" t="s">
        <v>33</v>
      </c>
      <c r="M16" s="147" t="s">
        <v>67</v>
      </c>
      <c r="N16" s="23" t="s">
        <v>67</v>
      </c>
      <c r="Q16" s="224" t="s">
        <v>169</v>
      </c>
      <c r="R16" s="224">
        <v>3500</v>
      </c>
      <c r="S16" s="224">
        <v>7</v>
      </c>
      <c r="T16" s="224" t="s">
        <v>180</v>
      </c>
    </row>
    <row r="17" spans="2:20" ht="30" x14ac:dyDescent="0.25">
      <c r="B17" s="40" t="s">
        <v>4</v>
      </c>
      <c r="C17" s="183">
        <v>500</v>
      </c>
      <c r="D17" s="108"/>
      <c r="E17" s="184">
        <v>200</v>
      </c>
      <c r="F17" s="179">
        <f>E17</f>
        <v>200</v>
      </c>
      <c r="G17" s="110">
        <f>F17</f>
        <v>200</v>
      </c>
      <c r="I17" s="40" t="s">
        <v>4</v>
      </c>
      <c r="J17" s="150">
        <v>500</v>
      </c>
      <c r="K17" s="108"/>
      <c r="L17" s="184">
        <v>200</v>
      </c>
      <c r="M17" s="179">
        <f>L17</f>
        <v>200</v>
      </c>
      <c r="N17" s="110">
        <f>M17</f>
        <v>200</v>
      </c>
      <c r="Q17" s="224" t="s">
        <v>170</v>
      </c>
      <c r="R17" s="224">
        <v>4000</v>
      </c>
      <c r="S17" s="224">
        <v>8</v>
      </c>
      <c r="T17" s="224" t="s">
        <v>181</v>
      </c>
    </row>
    <row r="18" spans="2:20" ht="120" x14ac:dyDescent="0.25">
      <c r="B18" s="41" t="s">
        <v>154</v>
      </c>
      <c r="C18" s="183">
        <v>100</v>
      </c>
      <c r="D18" s="191"/>
      <c r="E18" s="186">
        <v>1200</v>
      </c>
      <c r="F18" s="183">
        <v>800</v>
      </c>
      <c r="G18" s="184">
        <v>200</v>
      </c>
      <c r="I18" s="41" t="s">
        <v>155</v>
      </c>
      <c r="J18" s="183">
        <v>100</v>
      </c>
      <c r="K18" s="185">
        <v>1</v>
      </c>
      <c r="L18" s="186">
        <v>1200</v>
      </c>
      <c r="M18" s="183">
        <v>800</v>
      </c>
      <c r="N18" s="184">
        <v>200</v>
      </c>
      <c r="Q18" s="224" t="s">
        <v>171</v>
      </c>
      <c r="R18" s="224">
        <v>4500</v>
      </c>
      <c r="S18" s="224">
        <v>9</v>
      </c>
      <c r="T18" s="224" t="s">
        <v>182</v>
      </c>
    </row>
    <row r="19" spans="2:20" ht="30" x14ac:dyDescent="0.25">
      <c r="B19" s="41" t="s">
        <v>3</v>
      </c>
      <c r="C19" s="183">
        <v>14</v>
      </c>
      <c r="D19" s="191"/>
      <c r="E19" s="184">
        <v>14</v>
      </c>
      <c r="F19" s="183">
        <v>56</v>
      </c>
      <c r="G19" s="184">
        <v>365</v>
      </c>
      <c r="I19" s="41" t="s">
        <v>3</v>
      </c>
      <c r="J19" s="150">
        <v>7</v>
      </c>
      <c r="K19" s="185">
        <v>7</v>
      </c>
      <c r="L19" s="184">
        <v>7</v>
      </c>
      <c r="M19" s="183">
        <v>56</v>
      </c>
      <c r="N19" s="184">
        <v>365</v>
      </c>
      <c r="Q19" s="224" t="s">
        <v>172</v>
      </c>
      <c r="R19" s="224">
        <v>5000</v>
      </c>
      <c r="S19" s="224">
        <v>10</v>
      </c>
      <c r="T19" s="224" t="s">
        <v>183</v>
      </c>
    </row>
    <row r="20" spans="2:20" x14ac:dyDescent="0.25">
      <c r="B20" s="41" t="s">
        <v>23</v>
      </c>
      <c r="C20" s="183">
        <v>100</v>
      </c>
      <c r="D20" s="108"/>
      <c r="E20" s="184">
        <f>'Commodity Inputs'!$G$31</f>
        <v>1000</v>
      </c>
      <c r="F20" s="222">
        <f>'Commodity Inputs'!$G$31</f>
        <v>1000</v>
      </c>
      <c r="G20" s="184">
        <f>'Commodity Inputs'!$G$31</f>
        <v>1000</v>
      </c>
      <c r="I20" s="41" t="s">
        <v>23</v>
      </c>
      <c r="J20" s="150">
        <v>100</v>
      </c>
      <c r="K20" s="108"/>
      <c r="L20" s="184">
        <f>'Commodity Inputs'!$G$31</f>
        <v>1000</v>
      </c>
      <c r="M20" s="222">
        <f>'Commodity Inputs'!$G$31</f>
        <v>1000</v>
      </c>
      <c r="N20" s="184">
        <f>'Commodity Inputs'!$G$31</f>
        <v>1000</v>
      </c>
      <c r="Q20" s="224" t="s">
        <v>173</v>
      </c>
      <c r="R20" s="224">
        <v>5500</v>
      </c>
      <c r="S20" s="224">
        <v>11</v>
      </c>
      <c r="T20" s="224" t="s">
        <v>184</v>
      </c>
    </row>
    <row r="21" spans="2:20" ht="30.75" thickBot="1" x14ac:dyDescent="0.3">
      <c r="B21" s="42" t="s">
        <v>56</v>
      </c>
      <c r="C21" s="180"/>
      <c r="D21" s="190"/>
      <c r="E21" s="112"/>
      <c r="F21" s="180"/>
      <c r="G21" s="112"/>
      <c r="I21" s="42" t="s">
        <v>156</v>
      </c>
      <c r="J21" s="180"/>
      <c r="K21" s="189">
        <v>50</v>
      </c>
      <c r="L21" s="112"/>
      <c r="M21" s="180"/>
      <c r="N21" s="112"/>
      <c r="Q21" s="224" t="s">
        <v>174</v>
      </c>
      <c r="R21" s="224">
        <v>6000</v>
      </c>
      <c r="S21" s="224">
        <v>12</v>
      </c>
      <c r="T21" s="224" t="s">
        <v>185</v>
      </c>
    </row>
    <row r="22" spans="2:20" ht="15.75" thickBot="1" x14ac:dyDescent="0.3">
      <c r="Q22" s="224" t="s">
        <v>175</v>
      </c>
      <c r="R22" s="224">
        <v>6500</v>
      </c>
      <c r="S22" s="224">
        <v>13</v>
      </c>
      <c r="T22" s="224" t="s">
        <v>186</v>
      </c>
    </row>
    <row r="23" spans="2:20" ht="14.45" customHeight="1" x14ac:dyDescent="0.25">
      <c r="C23" s="302" t="s">
        <v>93</v>
      </c>
      <c r="D23" s="303"/>
      <c r="E23" s="303"/>
      <c r="F23" s="304"/>
      <c r="G23" s="135" t="s">
        <v>91</v>
      </c>
      <c r="H23" s="106" t="s">
        <v>92</v>
      </c>
      <c r="Q23" s="224" t="s">
        <v>176</v>
      </c>
      <c r="R23" s="224">
        <v>7000</v>
      </c>
      <c r="S23" s="224">
        <v>14</v>
      </c>
      <c r="T23" s="224" t="s">
        <v>187</v>
      </c>
    </row>
    <row r="24" spans="2:20" ht="60" x14ac:dyDescent="0.25">
      <c r="B24" s="230" t="s">
        <v>191</v>
      </c>
      <c r="C24" s="22" t="s">
        <v>6</v>
      </c>
      <c r="D24" s="21" t="s">
        <v>41</v>
      </c>
      <c r="E24" s="21" t="s">
        <v>128</v>
      </c>
      <c r="F24" s="23" t="s">
        <v>33</v>
      </c>
      <c r="G24" s="147" t="s">
        <v>67</v>
      </c>
      <c r="H24" s="23" t="s">
        <v>67</v>
      </c>
      <c r="Q24" s="224" t="s">
        <v>177</v>
      </c>
      <c r="R24" s="224">
        <v>7500</v>
      </c>
      <c r="S24" s="224">
        <v>15</v>
      </c>
      <c r="T24" s="224" t="s">
        <v>188</v>
      </c>
    </row>
    <row r="25" spans="2:20" x14ac:dyDescent="0.25">
      <c r="B25" s="231"/>
      <c r="C25" s="301" t="s">
        <v>192</v>
      </c>
      <c r="D25" s="301"/>
      <c r="E25" s="301"/>
      <c r="F25" s="301"/>
      <c r="G25" s="301"/>
      <c r="H25" s="301"/>
      <c r="Q25" s="227"/>
      <c r="R25" s="227"/>
      <c r="S25" s="227"/>
      <c r="T25" s="227"/>
    </row>
    <row r="26" spans="2:20" ht="30" x14ac:dyDescent="0.25">
      <c r="B26" s="226" t="s">
        <v>140</v>
      </c>
      <c r="C26" s="225" t="s">
        <v>194</v>
      </c>
      <c r="D26" s="225" t="s">
        <v>196</v>
      </c>
      <c r="E26" s="229"/>
      <c r="F26" s="225">
        <v>1200</v>
      </c>
      <c r="G26" s="225">
        <v>800</v>
      </c>
      <c r="H26" s="225">
        <v>200</v>
      </c>
    </row>
    <row r="27" spans="2:20" x14ac:dyDescent="0.25">
      <c r="B27" s="226" t="s">
        <v>86</v>
      </c>
      <c r="C27" s="225" t="s">
        <v>194</v>
      </c>
      <c r="D27" s="225" t="s">
        <v>197</v>
      </c>
      <c r="E27" s="229"/>
      <c r="F27" s="225">
        <v>1200</v>
      </c>
      <c r="G27" s="225">
        <v>800</v>
      </c>
      <c r="H27" s="225">
        <v>200</v>
      </c>
    </row>
    <row r="28" spans="2:20" x14ac:dyDescent="0.25">
      <c r="B28" s="226" t="s">
        <v>85</v>
      </c>
      <c r="C28" s="225" t="s">
        <v>194</v>
      </c>
      <c r="D28" s="229"/>
      <c r="E28" s="229"/>
      <c r="F28" s="225">
        <v>1200</v>
      </c>
      <c r="G28" s="225">
        <v>800</v>
      </c>
      <c r="H28" s="225">
        <v>200</v>
      </c>
    </row>
    <row r="29" spans="2:20" ht="30" x14ac:dyDescent="0.25">
      <c r="B29" s="226" t="s">
        <v>135</v>
      </c>
      <c r="C29" s="225" t="s">
        <v>194</v>
      </c>
      <c r="D29" s="229"/>
      <c r="E29" s="225" t="s">
        <v>195</v>
      </c>
      <c r="F29" s="225">
        <v>1200</v>
      </c>
      <c r="G29" s="225">
        <v>800</v>
      </c>
      <c r="H29" s="225">
        <v>200</v>
      </c>
    </row>
    <row r="30" spans="2:20" x14ac:dyDescent="0.25">
      <c r="B30" s="228"/>
      <c r="C30" s="301" t="s">
        <v>193</v>
      </c>
      <c r="D30" s="301"/>
      <c r="E30" s="301"/>
      <c r="F30" s="301"/>
      <c r="G30" s="301"/>
      <c r="H30" s="301"/>
    </row>
    <row r="31" spans="2:20" ht="30" x14ac:dyDescent="0.25">
      <c r="B31" s="226" t="s">
        <v>140</v>
      </c>
      <c r="C31" s="225">
        <v>14</v>
      </c>
      <c r="D31" s="225">
        <v>1</v>
      </c>
      <c r="E31" s="229"/>
      <c r="F31" s="225">
        <v>14</v>
      </c>
      <c r="G31" s="225">
        <v>56</v>
      </c>
      <c r="H31" s="225">
        <v>365</v>
      </c>
    </row>
    <row r="32" spans="2:20" x14ac:dyDescent="0.25">
      <c r="B32" s="226" t="s">
        <v>86</v>
      </c>
      <c r="C32" s="225">
        <v>7</v>
      </c>
      <c r="D32" s="225">
        <v>7</v>
      </c>
      <c r="E32" s="229"/>
      <c r="F32" s="225">
        <v>7</v>
      </c>
      <c r="G32" s="225">
        <v>56</v>
      </c>
      <c r="H32" s="225">
        <v>365</v>
      </c>
    </row>
    <row r="33" spans="2:8" x14ac:dyDescent="0.25">
      <c r="B33" s="226" t="s">
        <v>85</v>
      </c>
      <c r="C33" s="225">
        <v>14</v>
      </c>
      <c r="D33" s="229"/>
      <c r="E33" s="229"/>
      <c r="F33" s="225">
        <v>14</v>
      </c>
      <c r="G33" s="225">
        <v>56</v>
      </c>
      <c r="H33" s="225">
        <v>365</v>
      </c>
    </row>
    <row r="34" spans="2:8" ht="30" x14ac:dyDescent="0.25">
      <c r="B34" s="226" t="s">
        <v>135</v>
      </c>
      <c r="C34" s="225">
        <v>7</v>
      </c>
      <c r="D34" s="229"/>
      <c r="E34" s="225">
        <v>7</v>
      </c>
      <c r="F34" s="225">
        <v>7</v>
      </c>
      <c r="G34" s="225">
        <v>56</v>
      </c>
      <c r="H34" s="225">
        <v>365</v>
      </c>
    </row>
  </sheetData>
  <mergeCells count="7">
    <mergeCell ref="C30:H30"/>
    <mergeCell ref="C23:F23"/>
    <mergeCell ref="C15:E15"/>
    <mergeCell ref="J15:L15"/>
    <mergeCell ref="C4:E4"/>
    <mergeCell ref="J4:L4"/>
    <mergeCell ref="C25:H25"/>
  </mergeCells>
  <dataValidations count="1">
    <dataValidation type="decimal" allowBlank="1" showInputMessage="1" showErrorMessage="1" sqref="E9:G9 J17:J20 C6:C9 D7:E8 E6 D10 K7:K8 J6:J9 F6:G8 K10 K21 L17 F17:G19 L6:N9 D18:E19 D21 R6:T9 C17:C20 L20:N20 E17 K18:L19 M17:N19 E20:G20" xr:uid="{BE17F59D-DE74-4882-8DD4-12485013BEBC}">
      <formula1>1</formula1>
      <formula2>10000</formula2>
    </dataValidation>
  </dataValidations>
  <hyperlinks>
    <hyperlink ref="D1" r:id="rId1" xr:uid="{41E8AA50-6BFB-4649-BD7C-B5FF1F5F502F}"/>
  </hyperlinks>
  <pageMargins left="0.7" right="0.7" top="0.75" bottom="0.75" header="0.3" footer="0.3"/>
  <legacy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52"/>
  <sheetViews>
    <sheetView showGridLines="0" zoomScale="80" zoomScaleNormal="80" workbookViewId="0">
      <selection activeCell="M20" sqref="M20"/>
    </sheetView>
  </sheetViews>
  <sheetFormatPr defaultRowHeight="15" x14ac:dyDescent="0.25"/>
  <cols>
    <col min="1" max="1" width="5" customWidth="1"/>
    <col min="2" max="2" width="32.28515625" customWidth="1"/>
    <col min="3" max="3" width="21.140625" customWidth="1"/>
    <col min="4" max="4" width="19.42578125" customWidth="1"/>
    <col min="5" max="6" width="21.85546875" customWidth="1"/>
    <col min="7" max="7" width="27.42578125" customWidth="1"/>
    <col min="8" max="8" width="26.28515625" customWidth="1"/>
    <col min="9" max="9" width="15.42578125" customWidth="1"/>
    <col min="10" max="10" width="17.5703125" customWidth="1"/>
    <col min="11" max="11" width="16.85546875" customWidth="1"/>
    <col min="12" max="12" width="13.5703125" customWidth="1"/>
    <col min="13" max="13" width="13.7109375" bestFit="1" customWidth="1"/>
    <col min="14" max="14" width="15" customWidth="1"/>
    <col min="15" max="15" width="14.140625" customWidth="1"/>
    <col min="16" max="16" width="14.85546875" customWidth="1"/>
    <col min="17" max="19" width="14.140625" customWidth="1"/>
  </cols>
  <sheetData>
    <row r="1" spans="1:12" s="13" customFormat="1" x14ac:dyDescent="0.25">
      <c r="B1" s="12" t="s">
        <v>71</v>
      </c>
    </row>
    <row r="2" spans="1:12" ht="13.9" customHeight="1" x14ac:dyDescent="0.25">
      <c r="C2" s="4"/>
      <c r="D2" s="4"/>
      <c r="E2" s="4" t="s">
        <v>115</v>
      </c>
    </row>
    <row r="3" spans="1:12" ht="45" x14ac:dyDescent="0.25">
      <c r="B3" s="7" t="s">
        <v>117</v>
      </c>
      <c r="C3" s="7" t="s">
        <v>42</v>
      </c>
      <c r="D3" s="8"/>
      <c r="E3" s="7" t="s">
        <v>129</v>
      </c>
      <c r="F3" s="7" t="s">
        <v>130</v>
      </c>
      <c r="G3" s="151" t="s">
        <v>131</v>
      </c>
      <c r="H3" s="9"/>
      <c r="I3" s="10" t="s">
        <v>2</v>
      </c>
      <c r="J3" s="10" t="s">
        <v>37</v>
      </c>
      <c r="K3" s="10" t="s">
        <v>36</v>
      </c>
      <c r="L3" s="9"/>
    </row>
    <row r="4" spans="1:12" x14ac:dyDescent="0.25">
      <c r="A4" s="39" t="s">
        <v>50</v>
      </c>
      <c r="B4" s="5">
        <f>'General Inputs'!D7*'General Inputs'!D9*'General Inputs'!$D$13</f>
        <v>33333.333333333328</v>
      </c>
      <c r="C4" s="5">
        <f>('General Inputs'!D7)*'General Inputs'!D18*'General Inputs'!D9</f>
        <v>8750</v>
      </c>
      <c r="D4" s="4"/>
      <c r="E4" s="5">
        <f>C4</f>
        <v>8750</v>
      </c>
      <c r="F4" s="5">
        <f>C4</f>
        <v>8750</v>
      </c>
      <c r="G4" s="5">
        <v>630</v>
      </c>
      <c r="I4" s="5">
        <f>ROUNDUP(F4*'General Inputs'!$D$25,0)</f>
        <v>333</v>
      </c>
      <c r="J4" s="5">
        <f>ROUNDUP(I4*'General Inputs'!$D$26,0)</f>
        <v>167</v>
      </c>
      <c r="K4" s="5">
        <f>I4-J4</f>
        <v>166</v>
      </c>
    </row>
    <row r="5" spans="1:12" x14ac:dyDescent="0.25">
      <c r="A5" s="39" t="s">
        <v>51</v>
      </c>
      <c r="B5" s="5">
        <f>'General Inputs'!E7*'General Inputs'!E9*'General Inputs'!D13</f>
        <v>33333.333333333328</v>
      </c>
      <c r="C5" s="5">
        <f>('General Inputs'!E7)*'General Inputs'!E18*'General Inputs'!E9</f>
        <v>8750</v>
      </c>
      <c r="D5" s="4"/>
      <c r="E5" s="5">
        <f>C5</f>
        <v>8750</v>
      </c>
      <c r="F5" s="5">
        <f>C5</f>
        <v>8750</v>
      </c>
      <c r="G5" s="5">
        <v>630</v>
      </c>
      <c r="I5" s="5">
        <f>ROUNDUP(F5*'General Inputs'!$E$25,0)</f>
        <v>333</v>
      </c>
      <c r="J5" s="5">
        <f>ROUNDUP(I5*'General Inputs'!$E$26,0)</f>
        <v>167</v>
      </c>
      <c r="K5" s="5">
        <f>I5-J5</f>
        <v>166</v>
      </c>
    </row>
    <row r="6" spans="1:12" x14ac:dyDescent="0.25">
      <c r="A6" s="39" t="s">
        <v>52</v>
      </c>
      <c r="B6" s="5">
        <f>'General Inputs'!F7*'General Inputs'!F9*'General Inputs'!D13</f>
        <v>33333.333333333328</v>
      </c>
      <c r="C6" s="5">
        <f>('General Inputs'!F7)*'General Inputs'!F18*'General Inputs'!F9</f>
        <v>8750</v>
      </c>
      <c r="D6" s="4"/>
      <c r="E6" s="5">
        <f>C6</f>
        <v>8750</v>
      </c>
      <c r="F6" s="5">
        <f>C6</f>
        <v>8750</v>
      </c>
      <c r="G6" s="5">
        <v>630</v>
      </c>
      <c r="I6" s="5">
        <f>ROUNDUP(F6*'General Inputs'!$F$25,0)</f>
        <v>333</v>
      </c>
      <c r="J6" s="5">
        <f>ROUNDUP(I6*'General Inputs'!$F$26,0)</f>
        <v>167</v>
      </c>
      <c r="K6" s="5">
        <f>I6-J6</f>
        <v>166</v>
      </c>
    </row>
    <row r="7" spans="1:12" x14ac:dyDescent="0.25">
      <c r="A7" s="35"/>
      <c r="C7" s="4"/>
    </row>
    <row r="8" spans="1:12" s="13" customFormat="1" x14ac:dyDescent="0.25">
      <c r="A8" s="47"/>
      <c r="B8" s="12" t="s">
        <v>5</v>
      </c>
    </row>
    <row r="9" spans="1:12" x14ac:dyDescent="0.25">
      <c r="A9" s="35"/>
      <c r="B9" t="s">
        <v>116</v>
      </c>
      <c r="E9" s="4" t="s">
        <v>115</v>
      </c>
    </row>
    <row r="10" spans="1:12" ht="45" x14ac:dyDescent="0.25">
      <c r="A10" s="35"/>
      <c r="B10" s="7" t="s">
        <v>118</v>
      </c>
      <c r="C10" s="7" t="s">
        <v>104</v>
      </c>
      <c r="D10" s="7" t="s">
        <v>43</v>
      </c>
      <c r="E10" s="7" t="s">
        <v>129</v>
      </c>
      <c r="F10" s="7" t="s">
        <v>130</v>
      </c>
      <c r="G10" s="151" t="s">
        <v>131</v>
      </c>
      <c r="I10" s="10" t="s">
        <v>2</v>
      </c>
      <c r="J10" s="10" t="s">
        <v>37</v>
      </c>
      <c r="K10" s="10" t="s">
        <v>36</v>
      </c>
      <c r="L10" s="11"/>
    </row>
    <row r="11" spans="1:12" x14ac:dyDescent="0.25">
      <c r="A11" s="39" t="s">
        <v>50</v>
      </c>
      <c r="B11" s="5">
        <f>('General Inputs'!D6-'General Inputs'!D7)*'General Inputs'!D21*'General Inputs'!D10*'General Inputs'!D13</f>
        <v>25333.333333333332</v>
      </c>
      <c r="C11" s="5">
        <f>('General Inputs'!D6-'General Inputs'!D7)*'General Inputs'!D21*'General Inputs'!D10</f>
        <v>19000</v>
      </c>
      <c r="D11" s="5">
        <f>C11*'General Inputs'!D22</f>
        <v>9500</v>
      </c>
      <c r="E11" s="5">
        <f>D11</f>
        <v>9500</v>
      </c>
      <c r="F11" s="5">
        <f>D11</f>
        <v>9500</v>
      </c>
      <c r="G11" s="5">
        <f>D11</f>
        <v>9500</v>
      </c>
      <c r="I11" s="5">
        <f>ROUNDUP(F11*'General Inputs'!$D$25,0)</f>
        <v>361</v>
      </c>
      <c r="J11" s="5">
        <f>ROUNDUP(I11*'General Inputs'!$D$26,0)</f>
        <v>181</v>
      </c>
      <c r="K11" s="5">
        <f>I11-J11</f>
        <v>180</v>
      </c>
    </row>
    <row r="12" spans="1:12" x14ac:dyDescent="0.25">
      <c r="A12" s="39" t="s">
        <v>51</v>
      </c>
      <c r="B12" s="5">
        <f>('General Inputs'!E6-'General Inputs'!E7)*'General Inputs'!E21*'General Inputs'!E10*'General Inputs'!D13</f>
        <v>25650</v>
      </c>
      <c r="C12" s="5">
        <f>('General Inputs'!E6-'General Inputs'!E7)*'General Inputs'!E21*'General Inputs'!E10</f>
        <v>19237.5</v>
      </c>
      <c r="D12" s="5">
        <f>C12*'General Inputs'!E22</f>
        <v>9618.75</v>
      </c>
      <c r="E12" s="5">
        <f>D12</f>
        <v>9618.75</v>
      </c>
      <c r="F12" s="5">
        <f>D12</f>
        <v>9618.75</v>
      </c>
      <c r="G12" s="5">
        <f>D12</f>
        <v>9618.75</v>
      </c>
      <c r="I12" s="5">
        <f>ROUNDUP(F12*'General Inputs'!$E$25,0)</f>
        <v>366</v>
      </c>
      <c r="J12" s="5">
        <f>ROUNDUP(I12*'General Inputs'!$E$26,0)</f>
        <v>183</v>
      </c>
      <c r="K12" s="5">
        <f>I12-J12</f>
        <v>183</v>
      </c>
    </row>
    <row r="13" spans="1:12" x14ac:dyDescent="0.25">
      <c r="A13" s="39" t="s">
        <v>52</v>
      </c>
      <c r="B13" s="5">
        <f>('General Inputs'!F6-'General Inputs'!F7)*'General Inputs'!F21*'General Inputs'!F10*'General Inputs'!D13</f>
        <v>25950.833333333332</v>
      </c>
      <c r="C13" s="5">
        <f>('General Inputs'!F6-'General Inputs'!F7)*'General Inputs'!F21*'General Inputs'!F10</f>
        <v>19463.125</v>
      </c>
      <c r="D13" s="5">
        <f>C13*'General Inputs'!F22</f>
        <v>9731.5625</v>
      </c>
      <c r="E13" s="5">
        <f>D13</f>
        <v>9731.5625</v>
      </c>
      <c r="F13" s="5">
        <f>D13</f>
        <v>9731.5625</v>
      </c>
      <c r="G13" s="5">
        <f>D13</f>
        <v>9731.5625</v>
      </c>
      <c r="I13" s="5">
        <f>ROUNDUP(F13*'General Inputs'!$F$25,0)</f>
        <v>370</v>
      </c>
      <c r="J13" s="5">
        <f>ROUNDUP(I13*'General Inputs'!$F$26,0)</f>
        <v>185</v>
      </c>
      <c r="K13" s="5">
        <f>I13-J13</f>
        <v>185</v>
      </c>
    </row>
    <row r="15" spans="1:12" s="13" customFormat="1" x14ac:dyDescent="0.25">
      <c r="A15" s="47"/>
      <c r="B15" s="12" t="s">
        <v>147</v>
      </c>
    </row>
    <row r="17" spans="2:16" x14ac:dyDescent="0.25">
      <c r="B17" s="11"/>
      <c r="P17" s="89">
        <v>45292</v>
      </c>
    </row>
    <row r="18" spans="2:16" x14ac:dyDescent="0.25">
      <c r="B18" s="6" t="s">
        <v>145</v>
      </c>
      <c r="L18" s="6" t="s">
        <v>150</v>
      </c>
      <c r="P18" s="89">
        <v>45323</v>
      </c>
    </row>
    <row r="19" spans="2:16" ht="30" x14ac:dyDescent="0.25">
      <c r="B19" s="176"/>
      <c r="C19" s="201" t="s">
        <v>6</v>
      </c>
      <c r="D19" s="7" t="s">
        <v>67</v>
      </c>
      <c r="E19" s="7" t="s">
        <v>144</v>
      </c>
      <c r="F19" s="7" t="s">
        <v>128</v>
      </c>
      <c r="G19" s="203" t="s">
        <v>148</v>
      </c>
      <c r="H19" s="203" t="s">
        <v>149</v>
      </c>
      <c r="L19" s="134" t="s">
        <v>136</v>
      </c>
      <c r="M19" s="208" t="s">
        <v>137</v>
      </c>
      <c r="N19" s="208" t="s">
        <v>138</v>
      </c>
      <c r="O19" s="208" t="s">
        <v>139</v>
      </c>
      <c r="P19" s="89">
        <v>45352</v>
      </c>
    </row>
    <row r="20" spans="2:16" ht="30" x14ac:dyDescent="0.25">
      <c r="B20" s="198" t="s">
        <v>84</v>
      </c>
      <c r="C20" s="3">
        <f>ROUNDUP((('Reference Sheet'!C7*'Reference Sheet'!C8*'General Inputs'!D28)/'Reference Sheet'!C6)/'Reference Sheet'!$C$9,0)</f>
        <v>2</v>
      </c>
      <c r="D20" s="3">
        <f>ROUNDUP(((('Reference Sheet'!$E$7*'Reference Sheet'!$E$8)/'Reference Sheet'!E$6)/'Reference Sheet'!$E$9),0)</f>
        <v>1</v>
      </c>
      <c r="E20" s="3">
        <f>('Reference Sheet'!D$7*'Reference Sheet'!D$8*'General Inputs'!$D$28)/'Reference Sheet'!D$10</f>
        <v>10</v>
      </c>
      <c r="F20" s="3">
        <v>0</v>
      </c>
      <c r="G20" s="3">
        <f>ROUNDUP((('Reference Sheet'!F$7*'Reference Sheet'!F$8)/'Reference Sheet'!F$6)/'Reference Sheet'!F$9,0)</f>
        <v>1</v>
      </c>
      <c r="H20" s="3">
        <f>ROUNDUP((('Reference Sheet'!G$7*'Reference Sheet'!G$8)/'Reference Sheet'!G$6)/'Reference Sheet'!G$9,0)</f>
        <v>1</v>
      </c>
      <c r="L20" s="26" t="s">
        <v>146</v>
      </c>
      <c r="M20" s="200">
        <f>('Backend Calculations'!$C20*'General Inputs'!D38)+('Backend Calculations'!$C21*'General Inputs'!D39)+('Backend Calculations'!$C22*'General Inputs'!D40)+('Backend Calculations'!$C23*'General Inputs'!D41)</f>
        <v>540</v>
      </c>
      <c r="N20" s="200">
        <f>('Backend Calculations'!$C20*'General Inputs'!E38)+('Backend Calculations'!$C21*'General Inputs'!E39)+('Backend Calculations'!$C22*'General Inputs'!E40)+('Backend Calculations'!$C23*'General Inputs'!E41)</f>
        <v>543</v>
      </c>
      <c r="O20" s="200">
        <f>('Backend Calculations'!$C20*'General Inputs'!F38)+('Backend Calculations'!$C21*'General Inputs'!F39)+('Backend Calculations'!$C22*'General Inputs'!F40)+('Backend Calculations'!$C23*'General Inputs'!F41)</f>
        <v>546</v>
      </c>
      <c r="P20" s="89">
        <v>45383</v>
      </c>
    </row>
    <row r="21" spans="2:16" x14ac:dyDescent="0.25">
      <c r="B21" s="198" t="s">
        <v>86</v>
      </c>
      <c r="C21" s="3">
        <f>ROUNDUP((('Reference Sheet'!J7*'Reference Sheet'!J8*'General Inputs'!D28)/'Reference Sheet'!J6)/'Reference Sheet'!$J$9,0)</f>
        <v>1</v>
      </c>
      <c r="D21" s="3">
        <f>ROUNDUP(((('Reference Sheet'!L$7*'Reference Sheet'!L$8)/'Reference Sheet'!L$6)/'Reference Sheet'!L9),0)</f>
        <v>1</v>
      </c>
      <c r="E21" s="3">
        <f>('Reference Sheet'!K$7*'Reference Sheet'!K$8*'General Inputs'!D$28)/'Reference Sheet'!K$10</f>
        <v>21</v>
      </c>
      <c r="F21" s="3">
        <v>0</v>
      </c>
      <c r="G21" s="3">
        <f>ROUNDUP((('Reference Sheet'!M$7*'Reference Sheet'!M$8)/'Reference Sheet'!M$6)/'Reference Sheet'!M$9,0)</f>
        <v>1</v>
      </c>
      <c r="H21" s="3">
        <f>ROUNDUP((('Reference Sheet'!N$7*'Reference Sheet'!N$8)/'Reference Sheet'!N$6)/'Reference Sheet'!N$9,0)</f>
        <v>1</v>
      </c>
      <c r="L21" s="26" t="s">
        <v>67</v>
      </c>
      <c r="M21" s="200">
        <f>(('Backend Calculations'!$D20+G20+H20)*'General Inputs'!D39)+(('Backend Calculations'!$D21+G21+H21)*'General Inputs'!D40)+(('Backend Calculations'!$D22+G22+H22)*'General Inputs'!D41)+(('Backend Calculations'!$D23+G23+H23)*'General Inputs'!D42)+((D24+G24+H24)*(K11+K4))</f>
        <v>1578</v>
      </c>
      <c r="N21" s="200">
        <f>(('Backend Calculations'!$D20+G20+H20)*'General Inputs'!E39)+(('Backend Calculations'!$D21+G21+H21)*'General Inputs'!E40)+(('Backend Calculations'!$D22+G22+H22)*'General Inputs'!E41)+(('Backend Calculations'!$D23+G23+H23)*'General Inputs'!E42)+((D24+G24+H24)*(K12+K5))</f>
        <v>1590</v>
      </c>
      <c r="O21" s="200">
        <f>(('Backend Calculations'!$D20+G20+H20)*'General Inputs'!F39)+(('Backend Calculations'!$D21+G21+H21)*'General Inputs'!F40)+(('Backend Calculations'!$D22+G22+H22)*'General Inputs'!F41)+(('Backend Calculations'!$D23+G23+H23)*'General Inputs'!F42)</f>
        <v>546</v>
      </c>
      <c r="P21" s="89">
        <v>45413</v>
      </c>
    </row>
    <row r="22" spans="2:16" x14ac:dyDescent="0.25">
      <c r="B22" s="197" t="s">
        <v>85</v>
      </c>
      <c r="C22" s="3">
        <f>ROUNDUP((('Reference Sheet'!C18*'Reference Sheet'!C19*'General Inputs'!D28)/'Reference Sheet'!C17)/'Reference Sheet'!$C$20,0)</f>
        <v>2</v>
      </c>
      <c r="D22" s="3">
        <f>ROUNDUP(((('Reference Sheet'!E$18*'Reference Sheet'!E$19)/'Reference Sheet'!E$17)/'Reference Sheet'!E20),0)</f>
        <v>1</v>
      </c>
      <c r="E22" s="3">
        <v>0</v>
      </c>
      <c r="F22" s="3">
        <v>0</v>
      </c>
      <c r="G22" s="3">
        <f>ROUNDUP((('Reference Sheet'!$F$18*'Reference Sheet'!$F$19)/'Reference Sheet'!$F$17)/'Reference Sheet'!$F$20,0)</f>
        <v>1</v>
      </c>
      <c r="H22" s="3">
        <f>ROUNDUP((('Reference Sheet'!$G$18*'Reference Sheet'!$G$19)/'Reference Sheet'!$G$17)/'Reference Sheet'!$G$20,0)</f>
        <v>1</v>
      </c>
      <c r="I22" s="202"/>
      <c r="L22" s="26" t="s">
        <v>143</v>
      </c>
      <c r="M22" s="200">
        <f>($E20*'General Inputs'!D38)+('General Inputs'!D39*'Backend Calculations'!$E21)</f>
        <v>5580</v>
      </c>
      <c r="N22" s="200">
        <f>($E20*'General Inputs'!E38)+'General Inputs'!E39*'Backend Calculations'!$E21</f>
        <v>5611</v>
      </c>
      <c r="O22" s="200">
        <f>($E20*'General Inputs'!F38)+'General Inputs'!F39*'Backend Calculations'!$E21</f>
        <v>5642</v>
      </c>
      <c r="P22" s="89">
        <v>45444</v>
      </c>
    </row>
    <row r="23" spans="2:16" ht="62.25" customHeight="1" x14ac:dyDescent="0.25">
      <c r="B23" s="198" t="s">
        <v>135</v>
      </c>
      <c r="C23" s="3">
        <f>ROUNDUP((('Reference Sheet'!J18*'Reference Sheet'!J19*'General Inputs'!D28)/'Reference Sheet'!J17)/'Reference Sheet'!$J$20,0)</f>
        <v>1</v>
      </c>
      <c r="D23" s="3">
        <f>ROUNDUP(((('Reference Sheet'!L$18*'Reference Sheet'!L$19)/'Reference Sheet'!L$17)/'Reference Sheet'!L$20),0)</f>
        <v>1</v>
      </c>
      <c r="E23" s="3">
        <v>0</v>
      </c>
      <c r="F23" s="3">
        <f>('Reference Sheet'!K$18*'Reference Sheet'!K$19*'General Inputs'!$D$28)/'Reference Sheet'!K$21</f>
        <v>7</v>
      </c>
      <c r="G23" s="3">
        <f>ROUNDUP((('Reference Sheet'!M$18*'Reference Sheet'!$M$19)/'Reference Sheet'!$M$17)/'Reference Sheet'!$M$20,0)</f>
        <v>1</v>
      </c>
      <c r="H23" s="3">
        <f>ROUNDUP((('Reference Sheet'!$N$18*'Reference Sheet'!$N$19)/'Reference Sheet'!$N$17)/'Reference Sheet'!$N$20,0)</f>
        <v>1</v>
      </c>
      <c r="L23" s="26" t="s">
        <v>128</v>
      </c>
      <c r="M23" s="200">
        <f>$F23*'General Inputs'!D41</f>
        <v>0</v>
      </c>
      <c r="N23" s="200">
        <f>$F23*'General Inputs'!E41</f>
        <v>0</v>
      </c>
      <c r="O23" s="200">
        <f>$F23*'General Inputs'!F41</f>
        <v>0</v>
      </c>
      <c r="P23" s="89">
        <v>45474</v>
      </c>
    </row>
    <row r="24" spans="2:16" ht="30" x14ac:dyDescent="0.25">
      <c r="B24" s="199" t="s">
        <v>38</v>
      </c>
      <c r="C24" s="3">
        <v>0</v>
      </c>
      <c r="D24" s="3">
        <f>ROUNDUP(((('Reference Sheet'!R7*'Reference Sheet'!R8)/'Reference Sheet'!R6)/'Reference Sheet'!R9),0)</f>
        <v>1</v>
      </c>
      <c r="E24" s="3">
        <v>0</v>
      </c>
      <c r="F24" s="3">
        <v>0</v>
      </c>
      <c r="G24" s="3">
        <f>ROUNDUP((('Reference Sheet'!S$7*'Reference Sheet'!S$8)/'Reference Sheet'!S$6)/'Reference Sheet'!S$9,0)</f>
        <v>1</v>
      </c>
      <c r="H24" s="3">
        <f>ROUNDUP((('Reference Sheet'!T$7*'Reference Sheet'!T$8)/'Reference Sheet'!T$6)/'Reference Sheet'!T$9,0)</f>
        <v>1</v>
      </c>
      <c r="P24" s="89">
        <v>45505</v>
      </c>
    </row>
    <row r="25" spans="2:16" x14ac:dyDescent="0.25">
      <c r="D25" s="149"/>
      <c r="P25" s="89">
        <v>45536</v>
      </c>
    </row>
    <row r="26" spans="2:16" x14ac:dyDescent="0.25">
      <c r="P26" s="89">
        <v>45566</v>
      </c>
    </row>
    <row r="27" spans="2:16" ht="63" customHeight="1" x14ac:dyDescent="0.25">
      <c r="B27" s="176"/>
      <c r="C27" s="201" t="s">
        <v>6</v>
      </c>
      <c r="D27" s="7" t="s">
        <v>67</v>
      </c>
      <c r="E27" s="7" t="s">
        <v>144</v>
      </c>
      <c r="F27" s="7" t="s">
        <v>128</v>
      </c>
      <c r="G27" s="203" t="s">
        <v>148</v>
      </c>
      <c r="H27" s="203" t="s">
        <v>149</v>
      </c>
      <c r="J27" s="308" t="s">
        <v>190</v>
      </c>
      <c r="K27" s="308"/>
      <c r="L27" s="308"/>
      <c r="M27" s="308"/>
      <c r="N27" s="89">
        <v>45597</v>
      </c>
    </row>
    <row r="28" spans="2:16" ht="30" x14ac:dyDescent="0.25">
      <c r="B28" s="198" t="s">
        <v>84</v>
      </c>
      <c r="C28" s="3">
        <f>((('Reference Sheet'!C7*'Reference Sheet'!C8*'General Inputs'!D28)/'Reference Sheet'!C6)/'Reference Sheet'!$C$9)</f>
        <v>1.4</v>
      </c>
      <c r="D28" s="3">
        <f>((('Reference Sheet'!$E$7*'Reference Sheet'!$E$8)/'Reference Sheet'!E$6)/'Reference Sheet'!$E$9)</f>
        <v>8.4000000000000005E-2</v>
      </c>
      <c r="E28" s="3">
        <f>('Reference Sheet'!D$7*'Reference Sheet'!D$8*'General Inputs'!$D$28)/'Reference Sheet'!D$10</f>
        <v>10</v>
      </c>
      <c r="F28" s="3">
        <v>0</v>
      </c>
      <c r="G28" s="3">
        <f>(('Reference Sheet'!F$7*'Reference Sheet'!F$8)/'Reference Sheet'!F$6)/'Reference Sheet'!F$9</f>
        <v>0.224</v>
      </c>
      <c r="H28" s="3">
        <f>(('Reference Sheet'!G$7*'Reference Sheet'!G$8)/'Reference Sheet'!G$6)/'Reference Sheet'!G$9</f>
        <v>0.36499999999999999</v>
      </c>
      <c r="N28" s="89">
        <v>45627</v>
      </c>
    </row>
    <row r="29" spans="2:16" x14ac:dyDescent="0.25">
      <c r="B29" s="198" t="s">
        <v>86</v>
      </c>
      <c r="C29" s="3">
        <f>+(('Reference Sheet'!J7*'Reference Sheet'!J8*'General Inputs'!D28)/'Reference Sheet'!J6)/'Reference Sheet'!$J$9</f>
        <v>0.7</v>
      </c>
      <c r="D29" s="3">
        <f>((('Reference Sheet'!L$7*'Reference Sheet'!L$8)/'Reference Sheet'!L$6)/'Reference Sheet'!L9)</f>
        <v>4.2000000000000003E-2</v>
      </c>
      <c r="E29" s="3">
        <f>('Reference Sheet'!K$7*'Reference Sheet'!K$8*'General Inputs'!D$28)/'Reference Sheet'!K$10</f>
        <v>21</v>
      </c>
      <c r="F29" s="3">
        <v>0</v>
      </c>
      <c r="G29" s="3">
        <f>(('Reference Sheet'!M$7*'Reference Sheet'!M$8)/'Reference Sheet'!M$6)/'Reference Sheet'!M$9</f>
        <v>0.224</v>
      </c>
      <c r="H29" s="3">
        <f>(('Reference Sheet'!N$7*'Reference Sheet'!N$8)/'Reference Sheet'!N$6)/'Reference Sheet'!N$9</f>
        <v>0.36499999999999999</v>
      </c>
      <c r="J29" s="3"/>
      <c r="N29" s="89">
        <v>45658</v>
      </c>
    </row>
    <row r="30" spans="2:16" x14ac:dyDescent="0.25">
      <c r="B30" s="197" t="s">
        <v>85</v>
      </c>
      <c r="C30" s="3">
        <f>(('Reference Sheet'!C18*'Reference Sheet'!C19*'General Inputs'!D28)/'Reference Sheet'!C17)/'Reference Sheet'!$C$20</f>
        <v>1.4</v>
      </c>
      <c r="D30" s="3">
        <f>((('Reference Sheet'!E$18*'Reference Sheet'!E$19)/'Reference Sheet'!E$17)/'Reference Sheet'!E20)</f>
        <v>8.4000000000000005E-2</v>
      </c>
      <c r="E30" s="3">
        <v>0</v>
      </c>
      <c r="F30" s="3">
        <v>0</v>
      </c>
      <c r="G30" s="3">
        <f>(('Reference Sheet'!$F$18*'Reference Sheet'!$F$19)/'Reference Sheet'!$F$17)/'Reference Sheet'!$F$20</f>
        <v>0.224</v>
      </c>
      <c r="H30" s="3">
        <f>(('Reference Sheet'!$G$18*'Reference Sheet'!$G$19)/'Reference Sheet'!$G$17)/'Reference Sheet'!$G$20</f>
        <v>0.36499999999999999</v>
      </c>
      <c r="N30" s="89">
        <v>45689</v>
      </c>
    </row>
    <row r="31" spans="2:16" ht="45" x14ac:dyDescent="0.25">
      <c r="B31" s="198" t="s">
        <v>135</v>
      </c>
      <c r="C31" s="3">
        <f>(('Reference Sheet'!J18*'Reference Sheet'!J19*'General Inputs'!D28)/'Reference Sheet'!J17)/'Reference Sheet'!$J$20</f>
        <v>0.7</v>
      </c>
      <c r="D31" s="3">
        <f>((('Reference Sheet'!L$18*'Reference Sheet'!L$19)/'Reference Sheet'!L$17)/'Reference Sheet'!L$20)</f>
        <v>4.2000000000000003E-2</v>
      </c>
      <c r="E31" s="3">
        <v>0</v>
      </c>
      <c r="F31" s="3">
        <f>('Reference Sheet'!K$18*'Reference Sheet'!K$19*'General Inputs'!$D$28)/'Reference Sheet'!K$21</f>
        <v>7</v>
      </c>
      <c r="G31" s="3">
        <f>(('Reference Sheet'!M$18*'Reference Sheet'!$M$19)/'Reference Sheet'!$M$17)/'Reference Sheet'!$M$20</f>
        <v>0.224</v>
      </c>
      <c r="H31" s="3">
        <f>(('Reference Sheet'!$N$18*'Reference Sheet'!$N$19)/'Reference Sheet'!$N$17)/'Reference Sheet'!$N$20</f>
        <v>0.36499999999999999</v>
      </c>
      <c r="N31" s="89">
        <v>45717</v>
      </c>
    </row>
    <row r="32" spans="2:16" ht="31.15" customHeight="1" x14ac:dyDescent="0.25">
      <c r="B32" s="199" t="s">
        <v>38</v>
      </c>
      <c r="C32" s="3">
        <v>0</v>
      </c>
      <c r="D32" s="3">
        <f>((('Reference Sheet'!R7*'Reference Sheet'!R8)/'Reference Sheet'!R6)/'Reference Sheet'!R9)</f>
        <v>5.6000000000000001E-2</v>
      </c>
      <c r="E32" s="3">
        <v>0</v>
      </c>
      <c r="F32" s="3">
        <v>0</v>
      </c>
      <c r="G32" s="3">
        <f>(('Reference Sheet'!S$7*'Reference Sheet'!S$8)/'Reference Sheet'!S$6)/'Reference Sheet'!S$9</f>
        <v>0.224</v>
      </c>
      <c r="H32" s="3">
        <f>(('Reference Sheet'!T$7*'Reference Sheet'!T$8)/'Reference Sheet'!T$6)/'Reference Sheet'!T$9</f>
        <v>0.36499999999999999</v>
      </c>
      <c r="N32" s="89">
        <v>45748</v>
      </c>
    </row>
    <row r="33" spans="14:14" x14ac:dyDescent="0.25">
      <c r="N33" s="89">
        <v>45778</v>
      </c>
    </row>
    <row r="34" spans="14:14" x14ac:dyDescent="0.25">
      <c r="N34" s="89">
        <v>45809</v>
      </c>
    </row>
    <row r="35" spans="14:14" x14ac:dyDescent="0.25">
      <c r="N35" s="89">
        <v>45839</v>
      </c>
    </row>
    <row r="36" spans="14:14" x14ac:dyDescent="0.25">
      <c r="N36" s="89">
        <v>45870</v>
      </c>
    </row>
    <row r="37" spans="14:14" x14ac:dyDescent="0.25">
      <c r="N37" s="89">
        <v>45901</v>
      </c>
    </row>
    <row r="38" spans="14:14" x14ac:dyDescent="0.25">
      <c r="N38" s="89">
        <v>45931</v>
      </c>
    </row>
    <row r="39" spans="14:14" x14ac:dyDescent="0.25">
      <c r="N39" s="89">
        <v>45962</v>
      </c>
    </row>
    <row r="40" spans="14:14" x14ac:dyDescent="0.25">
      <c r="N40" s="89">
        <v>45992</v>
      </c>
    </row>
    <row r="41" spans="14:14" ht="34.15" customHeight="1" x14ac:dyDescent="0.25">
      <c r="N41" s="89">
        <v>46023</v>
      </c>
    </row>
    <row r="42" spans="14:14" x14ac:dyDescent="0.25">
      <c r="N42" s="89">
        <v>46054</v>
      </c>
    </row>
    <row r="43" spans="14:14" x14ac:dyDescent="0.25">
      <c r="N43" s="89">
        <v>46082</v>
      </c>
    </row>
    <row r="44" spans="14:14" x14ac:dyDescent="0.25">
      <c r="N44" s="89">
        <v>46113</v>
      </c>
    </row>
    <row r="45" spans="14:14" x14ac:dyDescent="0.25">
      <c r="N45" s="89">
        <v>46143</v>
      </c>
    </row>
    <row r="46" spans="14:14" x14ac:dyDescent="0.25">
      <c r="N46" s="89">
        <v>46174</v>
      </c>
    </row>
    <row r="47" spans="14:14" x14ac:dyDescent="0.25">
      <c r="N47" s="89">
        <v>46204</v>
      </c>
    </row>
    <row r="48" spans="14:14" x14ac:dyDescent="0.25">
      <c r="N48" s="89">
        <v>46235</v>
      </c>
    </row>
    <row r="49" spans="14:14" x14ac:dyDescent="0.25">
      <c r="N49" s="89">
        <v>46266</v>
      </c>
    </row>
    <row r="50" spans="14:14" x14ac:dyDescent="0.25">
      <c r="N50" s="89">
        <v>46296</v>
      </c>
    </row>
    <row r="51" spans="14:14" x14ac:dyDescent="0.25">
      <c r="N51" s="89">
        <v>46327</v>
      </c>
    </row>
    <row r="52" spans="14:14" x14ac:dyDescent="0.25">
      <c r="N52" s="89">
        <v>46357</v>
      </c>
    </row>
  </sheetData>
  <mergeCells count="1">
    <mergeCell ref="J27:M27"/>
  </mergeCells>
  <phoneticPr fontId="26" type="noConversion"/>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6</vt:i4>
      </vt:variant>
    </vt:vector>
  </HeadingPairs>
  <TitlesOfParts>
    <vt:vector size="6" baseType="lpstr">
      <vt:lpstr>Tool Background and Notes</vt:lpstr>
      <vt:lpstr>General Inputs</vt:lpstr>
      <vt:lpstr>Commodity Inputs</vt:lpstr>
      <vt:lpstr>Outputs</vt:lpstr>
      <vt:lpstr>Reference Sheet</vt:lpstr>
      <vt:lpstr>Backend Calculations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Zack Panos</dc:creator>
  <cp:lastModifiedBy>Alya Omar</cp:lastModifiedBy>
  <dcterms:created xsi:type="dcterms:W3CDTF">2020-01-24T08:15:28Z</dcterms:created>
  <dcterms:modified xsi:type="dcterms:W3CDTF">2025-01-22T22:38:14Z</dcterms:modified>
</cp:coreProperties>
</file>