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icapatcolumbia.sharepoint.com/sites/ngoonline-archive/projects/1019/Documents/07. Communities of Practice/03. Quality Management/Quality Management 2026/HIV MP SQA Toolkit/English Versions/"/>
    </mc:Choice>
  </mc:AlternateContent>
  <xr:revisionPtr revIDLastSave="179" documentId="8_{39ED182B-E14F-6144-AC5D-8AE70535650D}" xr6:coauthVersionLast="47" xr6:coauthVersionMax="47" xr10:uidLastSave="{1A5B0020-2C03-4874-BA32-5383A019057E}"/>
  <bookViews>
    <workbookView xWindow="-120" yWindow="-120" windowWidth="29040" windowHeight="15720" firstSheet="1" activeTab="1" xr2:uid="{0A46877C-3C25-4D2B-A10A-7EC2DE92B809}"/>
  </bookViews>
  <sheets>
    <sheet name="Informations and Instructions" sheetId="4" r:id="rId1"/>
    <sheet name="SQA Questionnaire" sheetId="2" r:id="rId2"/>
    <sheet name="Tables for graphs" sheetId="5" state="hidden" r:id="rId3"/>
    <sheet name="Results Summary" sheetId="6" r:id="rId4"/>
  </sheets>
  <externalReferences>
    <externalReference r:id="rId5"/>
  </externalReferences>
  <definedNames>
    <definedName name="facilities_under_selected_district">[1]Dropdowns!$M$5:INDEX([1]Dropdowns!$M$5:'[1]Dropdowns'!$M$27,[1]Dropdowns!$M$2)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3" i="2" l="1"/>
  <c r="I157" i="2"/>
  <c r="K157" i="2" s="1"/>
  <c r="L157" i="2" s="1"/>
  <c r="I156" i="2"/>
  <c r="K156" i="2" s="1"/>
  <c r="L156" i="2" s="1"/>
  <c r="I155" i="2"/>
  <c r="K155" i="2" s="1"/>
  <c r="L155" i="2" s="1"/>
  <c r="I154" i="2"/>
  <c r="K154" i="2"/>
  <c r="L154" i="2" s="1"/>
  <c r="I150" i="2"/>
  <c r="I148" i="2"/>
  <c r="I38" i="2"/>
  <c r="K290" i="2"/>
  <c r="I40" i="2"/>
  <c r="I363" i="2" l="1"/>
  <c r="K363" i="2" s="1"/>
  <c r="L363" i="2" s="1"/>
  <c r="I354" i="2"/>
  <c r="K354" i="2" s="1"/>
  <c r="L354" i="2" s="1"/>
  <c r="I346" i="2"/>
  <c r="K346" i="2" s="1"/>
  <c r="L346" i="2" s="1"/>
  <c r="I342" i="2"/>
  <c r="K342" i="2" s="1"/>
  <c r="L342" i="2" s="1"/>
  <c r="K323" i="2"/>
  <c r="L323" i="2" s="1"/>
  <c r="I333" i="2"/>
  <c r="K333" i="2" s="1"/>
  <c r="L333" i="2" s="1"/>
  <c r="I332" i="2"/>
  <c r="K332" i="2" s="1"/>
  <c r="L332" i="2" s="1"/>
  <c r="I331" i="2"/>
  <c r="K331" i="2" s="1"/>
  <c r="L331" i="2" s="1"/>
  <c r="I330" i="2"/>
  <c r="K330" i="2" s="1"/>
  <c r="L330" i="2" s="1"/>
  <c r="I302" i="2"/>
  <c r="I305" i="2"/>
  <c r="I304" i="2"/>
  <c r="I303" i="2"/>
  <c r="I284" i="2"/>
  <c r="K284" i="2" s="1"/>
  <c r="L284" i="2" s="1"/>
  <c r="I283" i="2"/>
  <c r="K283" i="2" s="1"/>
  <c r="L283" i="2" s="1"/>
  <c r="I282" i="2"/>
  <c r="K282" i="2" s="1"/>
  <c r="L282" i="2" s="1"/>
  <c r="I281" i="2"/>
  <c r="K281" i="2" s="1"/>
  <c r="L281" i="2" s="1"/>
  <c r="K274" i="2"/>
  <c r="L274" i="2" s="1"/>
  <c r="I251" i="2"/>
  <c r="K251" i="2" s="1"/>
  <c r="L251" i="2" s="1"/>
  <c r="I254" i="2"/>
  <c r="K254" i="2" s="1"/>
  <c r="L254" i="2" s="1"/>
  <c r="I253" i="2"/>
  <c r="K253" i="2" s="1"/>
  <c r="L253" i="2" s="1"/>
  <c r="I252" i="2"/>
  <c r="K252" i="2" s="1"/>
  <c r="L252" i="2" s="1"/>
  <c r="I269" i="2"/>
  <c r="K269" i="2" s="1"/>
  <c r="L269" i="2" s="1"/>
  <c r="I268" i="2"/>
  <c r="K268" i="2" s="1"/>
  <c r="L268" i="2" s="1"/>
  <c r="I267" i="2"/>
  <c r="K267" i="2" s="1"/>
  <c r="L267" i="2" s="1"/>
  <c r="I266" i="2"/>
  <c r="K266" i="2" s="1"/>
  <c r="L266" i="2" s="1"/>
  <c r="I262" i="2"/>
  <c r="K262" i="2" s="1"/>
  <c r="L262" i="2" s="1"/>
  <c r="I261" i="2"/>
  <c r="K261" i="2" s="1"/>
  <c r="L261" i="2" s="1"/>
  <c r="I260" i="2"/>
  <c r="K260" i="2" s="1"/>
  <c r="L260" i="2" s="1"/>
  <c r="I259" i="2"/>
  <c r="K259" i="2" s="1"/>
  <c r="L259" i="2" s="1"/>
  <c r="K242" i="2"/>
  <c r="L242" i="2" s="1"/>
  <c r="I237" i="2"/>
  <c r="K237" i="2" s="1"/>
  <c r="L237" i="2" s="1"/>
  <c r="I236" i="2"/>
  <c r="K236" i="2" s="1"/>
  <c r="L236" i="2" s="1"/>
  <c r="I235" i="2"/>
  <c r="K235" i="2" s="1"/>
  <c r="L235" i="2" s="1"/>
  <c r="I234" i="2"/>
  <c r="K234" i="2" s="1"/>
  <c r="L234" i="2" s="1"/>
  <c r="I230" i="2"/>
  <c r="K230" i="2" s="1"/>
  <c r="L230" i="2" s="1"/>
  <c r="I229" i="2"/>
  <c r="K229" i="2" s="1"/>
  <c r="L229" i="2" s="1"/>
  <c r="I228" i="2"/>
  <c r="K228" i="2" s="1"/>
  <c r="L228" i="2" s="1"/>
  <c r="I227" i="2"/>
  <c r="K227" i="2" s="1"/>
  <c r="L227" i="2" s="1"/>
  <c r="K220" i="2"/>
  <c r="I214" i="2"/>
  <c r="K214" i="2" s="1"/>
  <c r="L214" i="2" s="1"/>
  <c r="I213" i="2"/>
  <c r="K213" i="2" s="1"/>
  <c r="L213" i="2" s="1"/>
  <c r="I212" i="2"/>
  <c r="K212" i="2" s="1"/>
  <c r="L212" i="2" s="1"/>
  <c r="I211" i="2"/>
  <c r="K211" i="2" s="1"/>
  <c r="L211" i="2" s="1"/>
  <c r="K204" i="2"/>
  <c r="L204" i="2" s="1"/>
  <c r="K199" i="2"/>
  <c r="L199" i="2" s="1"/>
  <c r="K164" i="2"/>
  <c r="K169" i="2"/>
  <c r="L169" i="2" s="1"/>
  <c r="I193" i="2"/>
  <c r="K193" i="2" s="1"/>
  <c r="L193" i="2" s="1"/>
  <c r="I192" i="2"/>
  <c r="K192" i="2" s="1"/>
  <c r="L192" i="2" s="1"/>
  <c r="I191" i="2"/>
  <c r="K191" i="2" s="1"/>
  <c r="L191" i="2" s="1"/>
  <c r="I190" i="2"/>
  <c r="K190" i="2" s="1"/>
  <c r="L190" i="2" s="1"/>
  <c r="I186" i="2"/>
  <c r="K186" i="2" s="1"/>
  <c r="L186" i="2" s="1"/>
  <c r="I185" i="2"/>
  <c r="K185" i="2" s="1"/>
  <c r="L185" i="2" s="1"/>
  <c r="I184" i="2"/>
  <c r="K184" i="2" s="1"/>
  <c r="L184" i="2" s="1"/>
  <c r="K183" i="2"/>
  <c r="L183" i="2" s="1"/>
  <c r="I179" i="2"/>
  <c r="K179" i="2" s="1"/>
  <c r="L179" i="2" s="1"/>
  <c r="I178" i="2"/>
  <c r="K178" i="2" s="1"/>
  <c r="L178" i="2" s="1"/>
  <c r="I177" i="2"/>
  <c r="K177" i="2" s="1"/>
  <c r="L177" i="2" s="1"/>
  <c r="I176" i="2"/>
  <c r="K176" i="2" s="1"/>
  <c r="L176" i="2" s="1"/>
  <c r="K140" i="2"/>
  <c r="L140" i="2" s="1"/>
  <c r="K150" i="2"/>
  <c r="L150" i="2" s="1"/>
  <c r="I149" i="2"/>
  <c r="K149" i="2" s="1"/>
  <c r="L149" i="2" s="1"/>
  <c r="K148" i="2"/>
  <c r="L148" i="2" s="1"/>
  <c r="I147" i="2"/>
  <c r="K147" i="2" s="1"/>
  <c r="L147" i="2" s="1"/>
  <c r="I135" i="2"/>
  <c r="K135" i="2" s="1"/>
  <c r="L135" i="2" s="1"/>
  <c r="I134" i="2"/>
  <c r="K134" i="2" s="1"/>
  <c r="L134" i="2" s="1"/>
  <c r="I133" i="2"/>
  <c r="K133" i="2" s="1"/>
  <c r="L133" i="2" s="1"/>
  <c r="I132" i="2"/>
  <c r="K132" i="2" s="1"/>
  <c r="L132" i="2" s="1"/>
  <c r="I125" i="2"/>
  <c r="K125" i="2" s="1"/>
  <c r="L125" i="2" s="1"/>
  <c r="I124" i="2"/>
  <c r="K124" i="2" s="1"/>
  <c r="L124" i="2" s="1"/>
  <c r="I123" i="2"/>
  <c r="K123" i="2" s="1"/>
  <c r="L123" i="2" s="1"/>
  <c r="I122" i="2"/>
  <c r="K122" i="2" s="1"/>
  <c r="L122" i="2" s="1"/>
  <c r="K115" i="2"/>
  <c r="L115" i="2" s="1"/>
  <c r="K99" i="2"/>
  <c r="L99" i="2" s="1"/>
  <c r="K94" i="2"/>
  <c r="L94" i="2" s="1"/>
  <c r="K89" i="2"/>
  <c r="L89" i="2" s="1"/>
  <c r="I109" i="2"/>
  <c r="K109" i="2" s="1"/>
  <c r="L109" i="2" s="1"/>
  <c r="I108" i="2"/>
  <c r="K108" i="2" s="1"/>
  <c r="L108" i="2" s="1"/>
  <c r="I107" i="2"/>
  <c r="K107" i="2" s="1"/>
  <c r="L107" i="2" s="1"/>
  <c r="I106" i="2"/>
  <c r="K106" i="2" s="1"/>
  <c r="L106" i="2" s="1"/>
  <c r="I82" i="2"/>
  <c r="K82" i="2" s="1"/>
  <c r="L82" i="2" s="1"/>
  <c r="I84" i="2"/>
  <c r="K84" i="2" s="1"/>
  <c r="L84" i="2" s="1"/>
  <c r="I83" i="2"/>
  <c r="K83" i="2" s="1"/>
  <c r="L83" i="2" s="1"/>
  <c r="K76" i="2"/>
  <c r="L76" i="2" s="1"/>
  <c r="K72" i="2"/>
  <c r="L72" i="2" s="1"/>
  <c r="K68" i="2"/>
  <c r="L68" i="2" s="1"/>
  <c r="K64" i="2"/>
  <c r="L64" i="2" s="1"/>
  <c r="I57" i="2"/>
  <c r="K57" i="2" s="1"/>
  <c r="L57" i="2" s="1"/>
  <c r="I56" i="2"/>
  <c r="K56" i="2" s="1"/>
  <c r="L56" i="2" s="1"/>
  <c r="I55" i="2"/>
  <c r="K55" i="2" s="1"/>
  <c r="L55" i="2" s="1"/>
  <c r="I54" i="2"/>
  <c r="K54" i="2" s="1"/>
  <c r="L54" i="2" s="1"/>
  <c r="K47" i="2"/>
  <c r="L47" i="2" s="1"/>
  <c r="I41" i="2"/>
  <c r="K41" i="2" s="1"/>
  <c r="L41" i="2" s="1"/>
  <c r="K40" i="2"/>
  <c r="L40" i="2" s="1"/>
  <c r="I39" i="2"/>
  <c r="K39" i="2" s="1"/>
  <c r="L39" i="2" s="1"/>
  <c r="K38" i="2"/>
  <c r="L38" i="2" s="1"/>
  <c r="L270" i="2" l="1"/>
  <c r="L220" i="2"/>
  <c r="L164" i="2"/>
  <c r="L25" i="5"/>
  <c r="N25" i="5"/>
  <c r="M25" i="5"/>
  <c r="M14" i="5"/>
  <c r="L14" i="5"/>
  <c r="N14" i="5"/>
  <c r="L136" i="2"/>
  <c r="I136" i="2" s="1"/>
  <c r="P25" i="5" l="1"/>
  <c r="O25" i="5"/>
  <c r="Q25" i="5"/>
  <c r="K31" i="2"/>
  <c r="L31" i="2" l="1"/>
  <c r="K359" i="2" l="1"/>
  <c r="L358" i="2"/>
  <c r="K352" i="2"/>
  <c r="L352" i="2" s="1"/>
  <c r="L355" i="2" s="1"/>
  <c r="I355" i="2" s="1"/>
  <c r="L350" i="2"/>
  <c r="L26" i="5" l="1"/>
  <c r="M26" i="5"/>
  <c r="N26" i="5"/>
  <c r="L359" i="2"/>
  <c r="L364" i="2" s="1"/>
  <c r="I364" i="2" s="1"/>
  <c r="N355" i="2"/>
  <c r="D25" i="5" s="1"/>
  <c r="Q26" i="5" l="1"/>
  <c r="P26" i="5"/>
  <c r="O26" i="5"/>
  <c r="H25" i="5"/>
  <c r="G25" i="5"/>
  <c r="F25" i="5"/>
  <c r="E25" i="5"/>
  <c r="N364" i="2"/>
  <c r="D26" i="5" s="1"/>
  <c r="K304" i="2"/>
  <c r="L304" i="2" s="1"/>
  <c r="K305" i="2"/>
  <c r="L305" i="2" s="1"/>
  <c r="K165" i="2"/>
  <c r="I345" i="2"/>
  <c r="K345" i="2" s="1"/>
  <c r="L345" i="2" s="1"/>
  <c r="I343" i="2"/>
  <c r="K343" i="2" s="1"/>
  <c r="K338" i="2"/>
  <c r="L337" i="2"/>
  <c r="L165" i="2" l="1"/>
  <c r="E26" i="5"/>
  <c r="F26" i="5"/>
  <c r="H26" i="5"/>
  <c r="G26" i="5"/>
  <c r="L343" i="2"/>
  <c r="M24" i="5"/>
  <c r="L24" i="5"/>
  <c r="N24" i="5"/>
  <c r="L338" i="2"/>
  <c r="K303" i="2"/>
  <c r="L303" i="2" s="1"/>
  <c r="K302" i="2"/>
  <c r="L302" i="2" s="1"/>
  <c r="K5" i="2"/>
  <c r="L347" i="2" l="1"/>
  <c r="I347" i="2" s="1"/>
  <c r="N347" i="2" s="1"/>
  <c r="D24" i="5" s="1"/>
  <c r="Q24" i="5"/>
  <c r="P24" i="5"/>
  <c r="O24" i="5"/>
  <c r="I312" i="2"/>
  <c r="K312" i="2" s="1"/>
  <c r="I380" i="2"/>
  <c r="K380" i="2" s="1"/>
  <c r="I370" i="2"/>
  <c r="K370" i="2" s="1"/>
  <c r="I316" i="2"/>
  <c r="K316" i="2" s="1"/>
  <c r="K390" i="2"/>
  <c r="K389" i="2"/>
  <c r="K388" i="2"/>
  <c r="K387" i="2"/>
  <c r="H24" i="5" l="1"/>
  <c r="G24" i="5"/>
  <c r="F24" i="5"/>
  <c r="E24" i="5"/>
  <c r="O14" i="5"/>
  <c r="P14" i="5"/>
  <c r="Q14" i="5"/>
  <c r="L312" i="2"/>
  <c r="L5" i="2"/>
  <c r="L390" i="2"/>
  <c r="L389" i="2"/>
  <c r="L388" i="2"/>
  <c r="L387" i="2"/>
  <c r="K375" i="2"/>
  <c r="L375" i="2" s="1"/>
  <c r="K374" i="2"/>
  <c r="L374" i="2" s="1"/>
  <c r="K326" i="2"/>
  <c r="K325" i="2"/>
  <c r="L325" i="2" s="1"/>
  <c r="K324" i="2"/>
  <c r="L324" i="2" s="1"/>
  <c r="L322" i="2"/>
  <c r="L316" i="2"/>
  <c r="K310" i="2"/>
  <c r="L310" i="2" s="1"/>
  <c r="K292" i="2"/>
  <c r="L292" i="2" s="1"/>
  <c r="K291" i="2"/>
  <c r="K277" i="2"/>
  <c r="L277" i="2" s="1"/>
  <c r="K276" i="2"/>
  <c r="L276" i="2" s="1"/>
  <c r="K275" i="2"/>
  <c r="L273" i="2"/>
  <c r="K245" i="2"/>
  <c r="L245" i="2" s="1"/>
  <c r="K244" i="2"/>
  <c r="K243" i="2"/>
  <c r="L243" i="2" s="1"/>
  <c r="L241" i="2"/>
  <c r="K223" i="2"/>
  <c r="K222" i="2"/>
  <c r="L222" i="2" s="1"/>
  <c r="K221" i="2"/>
  <c r="L219" i="2"/>
  <c r="K207" i="2"/>
  <c r="L207" i="2" s="1"/>
  <c r="K206" i="2"/>
  <c r="L206" i="2" s="1"/>
  <c r="K205" i="2"/>
  <c r="L205" i="2" s="1"/>
  <c r="L203" i="2"/>
  <c r="K202" i="2"/>
  <c r="L202" i="2" s="1"/>
  <c r="K201" i="2"/>
  <c r="K200" i="2"/>
  <c r="L200" i="2" s="1"/>
  <c r="L198" i="2"/>
  <c r="K172" i="2"/>
  <c r="K171" i="2"/>
  <c r="L171" i="2" s="1"/>
  <c r="K170" i="2"/>
  <c r="L170" i="2" s="1"/>
  <c r="L168" i="2"/>
  <c r="K167" i="2"/>
  <c r="L167" i="2" s="1"/>
  <c r="K166" i="2"/>
  <c r="L163" i="2"/>
  <c r="K143" i="2"/>
  <c r="L143" i="2" s="1"/>
  <c r="K142" i="2"/>
  <c r="L142" i="2" s="1"/>
  <c r="K141" i="2"/>
  <c r="K118" i="2"/>
  <c r="L118" i="2" s="1"/>
  <c r="K117" i="2"/>
  <c r="K116" i="2"/>
  <c r="K102" i="2"/>
  <c r="L102" i="2" s="1"/>
  <c r="K101" i="2"/>
  <c r="L101" i="2" s="1"/>
  <c r="K100" i="2"/>
  <c r="L100" i="2" s="1"/>
  <c r="K97" i="2"/>
  <c r="L97" i="2" s="1"/>
  <c r="K96" i="2"/>
  <c r="L96" i="2" s="1"/>
  <c r="K95" i="2"/>
  <c r="L95" i="2" s="1"/>
  <c r="K92" i="2"/>
  <c r="L92" i="2" s="1"/>
  <c r="K91" i="2"/>
  <c r="K90" i="2"/>
  <c r="L90" i="2" s="1"/>
  <c r="K78" i="2"/>
  <c r="L78" i="2" s="1"/>
  <c r="K77" i="2"/>
  <c r="L77" i="2" s="1"/>
  <c r="K74" i="2"/>
  <c r="L74" i="2" s="1"/>
  <c r="K73" i="2"/>
  <c r="L73" i="2" s="1"/>
  <c r="K70" i="2"/>
  <c r="L70" i="2" s="1"/>
  <c r="K69" i="2"/>
  <c r="L69" i="2" s="1"/>
  <c r="K66" i="2"/>
  <c r="K65" i="2"/>
  <c r="L65" i="2" s="1"/>
  <c r="K50" i="2"/>
  <c r="K49" i="2"/>
  <c r="L49" i="2" s="1"/>
  <c r="K48" i="2"/>
  <c r="L48" i="2" s="1"/>
  <c r="K34" i="2"/>
  <c r="L34" i="2" s="1"/>
  <c r="K33" i="2"/>
  <c r="L33" i="2" s="1"/>
  <c r="K32" i="2"/>
  <c r="K25" i="2"/>
  <c r="L25" i="2" s="1"/>
  <c r="K24" i="2"/>
  <c r="L24" i="2" s="1"/>
  <c r="K23" i="2"/>
  <c r="K19" i="2"/>
  <c r="L19" i="2" s="1"/>
  <c r="K18" i="2"/>
  <c r="L18" i="2" s="1"/>
  <c r="K17" i="2"/>
  <c r="K13" i="2"/>
  <c r="L13" i="2" s="1"/>
  <c r="K12" i="2"/>
  <c r="L12" i="2" s="1"/>
  <c r="K11" i="2"/>
  <c r="K7" i="2"/>
  <c r="L7" i="2" s="1"/>
  <c r="K6" i="2"/>
  <c r="L194" i="2" l="1"/>
  <c r="L326" i="2"/>
  <c r="L334" i="2" s="1"/>
  <c r="I334" i="2" s="1"/>
  <c r="N334" i="2" s="1"/>
  <c r="M23" i="5"/>
  <c r="L23" i="5"/>
  <c r="N23" i="5"/>
  <c r="L172" i="2"/>
  <c r="L16" i="5"/>
  <c r="M16" i="5"/>
  <c r="N16" i="5"/>
  <c r="L91" i="2"/>
  <c r="L110" i="2" s="1"/>
  <c r="L12" i="5"/>
  <c r="M12" i="5"/>
  <c r="N12" i="5"/>
  <c r="L11" i="5"/>
  <c r="N11" i="5"/>
  <c r="M11" i="5"/>
  <c r="L50" i="2"/>
  <c r="L58" i="2" s="1"/>
  <c r="I58" i="2" s="1"/>
  <c r="N58" i="2" s="1"/>
  <c r="D10" i="5" s="1"/>
  <c r="H10" i="5" s="1"/>
  <c r="M10" i="5"/>
  <c r="N10" i="5"/>
  <c r="L10" i="5"/>
  <c r="L116" i="2"/>
  <c r="M13" i="5"/>
  <c r="N13" i="5"/>
  <c r="L13" i="5"/>
  <c r="L291" i="2"/>
  <c r="M21" i="5"/>
  <c r="N21" i="5"/>
  <c r="L21" i="5"/>
  <c r="L275" i="2"/>
  <c r="M20" i="5"/>
  <c r="N20" i="5"/>
  <c r="L20" i="5"/>
  <c r="L244" i="2"/>
  <c r="I270" i="2" s="1"/>
  <c r="N270" i="2" s="1"/>
  <c r="D19" i="5" s="1"/>
  <c r="H19" i="5" s="1"/>
  <c r="L19" i="5"/>
  <c r="M19" i="5"/>
  <c r="N19" i="5"/>
  <c r="L221" i="2"/>
  <c r="M18" i="5"/>
  <c r="L18" i="5"/>
  <c r="N18" i="5"/>
  <c r="L201" i="2"/>
  <c r="L215" i="2" s="1"/>
  <c r="I215" i="2" s="1"/>
  <c r="N215" i="2" s="1"/>
  <c r="D17" i="5" s="1"/>
  <c r="H17" i="5" s="1"/>
  <c r="M17" i="5"/>
  <c r="L17" i="5"/>
  <c r="N17" i="5"/>
  <c r="L141" i="2"/>
  <c r="L159" i="2" s="1"/>
  <c r="I159" i="2" s="1"/>
  <c r="L15" i="5"/>
  <c r="M15" i="5"/>
  <c r="N15" i="5"/>
  <c r="N9" i="5"/>
  <c r="L9" i="5"/>
  <c r="M9" i="5"/>
  <c r="L223" i="2"/>
  <c r="L166" i="2"/>
  <c r="L32" i="2"/>
  <c r="L42" i="2" s="1"/>
  <c r="I42" i="2" s="1"/>
  <c r="L5" i="5"/>
  <c r="M5" i="5"/>
  <c r="N5" i="5"/>
  <c r="L11" i="2"/>
  <c r="L14" i="2" s="1"/>
  <c r="I14" i="2" s="1"/>
  <c r="N14" i="2" s="1"/>
  <c r="D6" i="5" s="1"/>
  <c r="H6" i="5" s="1"/>
  <c r="N6" i="5"/>
  <c r="M6" i="5"/>
  <c r="L6" i="5"/>
  <c r="N27" i="5"/>
  <c r="L23" i="2"/>
  <c r="L26" i="2" s="1"/>
  <c r="I26" i="2" s="1"/>
  <c r="N26" i="2" s="1"/>
  <c r="D8" i="5" s="1"/>
  <c r="H8" i="5" s="1"/>
  <c r="M8" i="5"/>
  <c r="L8" i="5"/>
  <c r="N8" i="5"/>
  <c r="L17" i="2"/>
  <c r="L20" i="2" s="1"/>
  <c r="I20" i="2" s="1"/>
  <c r="N20" i="2" s="1"/>
  <c r="D7" i="5" s="1"/>
  <c r="H7" i="5" s="1"/>
  <c r="M7" i="5"/>
  <c r="N7" i="5"/>
  <c r="L7" i="5"/>
  <c r="L27" i="5"/>
  <c r="M27" i="5"/>
  <c r="L290" i="2"/>
  <c r="L117" i="2"/>
  <c r="L66" i="2"/>
  <c r="L85" i="2" s="1"/>
  <c r="M22" i="5"/>
  <c r="N22" i="5"/>
  <c r="L22" i="5"/>
  <c r="L6" i="2"/>
  <c r="L8" i="2" s="1"/>
  <c r="I8" i="2" s="1"/>
  <c r="L319" i="2"/>
  <c r="N136" i="2"/>
  <c r="D14" i="5" s="1"/>
  <c r="L285" i="2" l="1"/>
  <c r="I285" i="2" s="1"/>
  <c r="N285" i="2" s="1"/>
  <c r="D20" i="5" s="1"/>
  <c r="L238" i="2"/>
  <c r="I238" i="2" s="1"/>
  <c r="N238" i="2" s="1"/>
  <c r="D18" i="5" s="1"/>
  <c r="N159" i="2"/>
  <c r="D15" i="5" s="1"/>
  <c r="I319" i="2"/>
  <c r="N319" i="2" s="1"/>
  <c r="D22" i="5" s="1"/>
  <c r="H22" i="5" s="1"/>
  <c r="I110" i="2"/>
  <c r="N110" i="2" s="1"/>
  <c r="D12" i="5" s="1"/>
  <c r="L126" i="2"/>
  <c r="I126" i="2" s="1"/>
  <c r="D23" i="5"/>
  <c r="H23" i="5" s="1"/>
  <c r="L306" i="2"/>
  <c r="Q17" i="5"/>
  <c r="Q27" i="5"/>
  <c r="Q19" i="5"/>
  <c r="O17" i="5"/>
  <c r="Q6" i="5"/>
  <c r="Q7" i="5"/>
  <c r="O5" i="5"/>
  <c r="P23" i="5"/>
  <c r="Q18" i="5"/>
  <c r="P27" i="5"/>
  <c r="P19" i="5"/>
  <c r="O10" i="5"/>
  <c r="P17" i="5"/>
  <c r="O15" i="5"/>
  <c r="Q23" i="5"/>
  <c r="O12" i="5"/>
  <c r="Q15" i="5"/>
  <c r="P18" i="5"/>
  <c r="O19" i="5"/>
  <c r="O22" i="5"/>
  <c r="O23" i="5"/>
  <c r="P10" i="5"/>
  <c r="O7" i="5"/>
  <c r="P7" i="5"/>
  <c r="O18" i="5"/>
  <c r="P8" i="5"/>
  <c r="Q22" i="5"/>
  <c r="P22" i="5"/>
  <c r="P15" i="5"/>
  <c r="Q10" i="5"/>
  <c r="Q8" i="5"/>
  <c r="O8" i="5"/>
  <c r="O27" i="5"/>
  <c r="Q12" i="5"/>
  <c r="P12" i="5"/>
  <c r="O6" i="5"/>
  <c r="Q5" i="5"/>
  <c r="P6" i="5"/>
  <c r="P5" i="5"/>
  <c r="Q21" i="5"/>
  <c r="O21" i="5"/>
  <c r="P21" i="5"/>
  <c r="Q20" i="5"/>
  <c r="O9" i="5"/>
  <c r="P9" i="5"/>
  <c r="Q9" i="5"/>
  <c r="O20" i="5"/>
  <c r="P20" i="5"/>
  <c r="O16" i="5"/>
  <c r="Q16" i="5"/>
  <c r="P16" i="5"/>
  <c r="O13" i="5"/>
  <c r="Q13" i="5"/>
  <c r="P13" i="5"/>
  <c r="Q11" i="5"/>
  <c r="P11" i="5"/>
  <c r="O11" i="5"/>
  <c r="G14" i="5"/>
  <c r="F14" i="5"/>
  <c r="E14" i="5"/>
  <c r="H14" i="5"/>
  <c r="G19" i="5"/>
  <c r="F19" i="5"/>
  <c r="E19" i="5"/>
  <c r="G17" i="5"/>
  <c r="F17" i="5"/>
  <c r="E17" i="5"/>
  <c r="G10" i="5"/>
  <c r="E10" i="5"/>
  <c r="F10" i="5"/>
  <c r="G8" i="5"/>
  <c r="E8" i="5"/>
  <c r="F8" i="5"/>
  <c r="F7" i="5"/>
  <c r="E7" i="5"/>
  <c r="G7" i="5"/>
  <c r="G6" i="5"/>
  <c r="F6" i="5"/>
  <c r="E6" i="5"/>
  <c r="N8" i="2"/>
  <c r="L370" i="2"/>
  <c r="H20" i="5" l="1"/>
  <c r="G20" i="5"/>
  <c r="F20" i="5"/>
  <c r="E20" i="5"/>
  <c r="I194" i="2"/>
  <c r="N194" i="2" s="1"/>
  <c r="D16" i="5" s="1"/>
  <c r="H15" i="5"/>
  <c r="G15" i="5"/>
  <c r="E15" i="5"/>
  <c r="F15" i="5"/>
  <c r="G23" i="5"/>
  <c r="F23" i="5"/>
  <c r="E23" i="5"/>
  <c r="E22" i="5"/>
  <c r="F22" i="5"/>
  <c r="G22" i="5"/>
  <c r="H18" i="5"/>
  <c r="F18" i="5"/>
  <c r="E18" i="5"/>
  <c r="G18" i="5"/>
  <c r="F12" i="5"/>
  <c r="E12" i="5"/>
  <c r="H12" i="5"/>
  <c r="G12" i="5"/>
  <c r="I306" i="2"/>
  <c r="N306" i="2" s="1"/>
  <c r="D21" i="5" s="1"/>
  <c r="N126" i="2"/>
  <c r="D13" i="5" s="1"/>
  <c r="I85" i="2"/>
  <c r="N85" i="2" s="1"/>
  <c r="D11" i="5" s="1"/>
  <c r="N42" i="2"/>
  <c r="D9" i="5" s="1"/>
  <c r="D5" i="5"/>
  <c r="H5" i="5" s="1"/>
  <c r="L376" i="2"/>
  <c r="I376" i="2" s="1"/>
  <c r="E16" i="5" l="1"/>
  <c r="H16" i="5"/>
  <c r="F16" i="5"/>
  <c r="G16" i="5"/>
  <c r="E21" i="5"/>
  <c r="H21" i="5"/>
  <c r="F21" i="5"/>
  <c r="G21" i="5"/>
  <c r="G13" i="5"/>
  <c r="F13" i="5"/>
  <c r="E13" i="5"/>
  <c r="H13" i="5"/>
  <c r="E11" i="5"/>
  <c r="H11" i="5"/>
  <c r="F11" i="5"/>
  <c r="G11" i="5"/>
  <c r="H9" i="5"/>
  <c r="E9" i="5"/>
  <c r="F9" i="5"/>
  <c r="G9" i="5"/>
  <c r="G5" i="5"/>
  <c r="F5" i="5"/>
  <c r="E5" i="5"/>
  <c r="N376" i="2"/>
  <c r="D27" i="5" s="1"/>
  <c r="H27" i="5" s="1"/>
  <c r="G27" i="5" l="1"/>
  <c r="F27" i="5"/>
  <c r="E27" i="5"/>
  <c r="N28" i="5"/>
  <c r="L28" i="5"/>
  <c r="C16" i="6"/>
  <c r="D16" i="6" s="1"/>
  <c r="M28" i="5"/>
  <c r="P28" i="5" s="1"/>
  <c r="C19" i="6"/>
  <c r="C18" i="6"/>
  <c r="L380" i="2"/>
  <c r="L391" i="2" s="1"/>
  <c r="I391" i="2" s="1"/>
  <c r="C17" i="6"/>
  <c r="O28" i="5" l="1"/>
  <c r="Q28" i="5"/>
  <c r="C9" i="6"/>
  <c r="C10" i="6"/>
  <c r="C8" i="6"/>
  <c r="C11" i="6"/>
  <c r="N391" i="2"/>
  <c r="D28" i="5" s="1"/>
  <c r="D18" i="6"/>
  <c r="D19" i="6"/>
  <c r="D17" i="6"/>
  <c r="G28" i="5" l="1"/>
  <c r="H28" i="5"/>
  <c r="F28" i="5"/>
  <c r="E28" i="5"/>
  <c r="D10" i="6"/>
  <c r="C7" i="6"/>
  <c r="D7" i="6" s="1"/>
  <c r="D8" i="6"/>
  <c r="D9" i="6"/>
  <c r="D11" i="6"/>
  <c r="C22" i="6"/>
</calcChain>
</file>

<file path=xl/sharedStrings.xml><?xml version="1.0" encoding="utf-8"?>
<sst xmlns="http://schemas.openxmlformats.org/spreadsheetml/2006/main" count="816" uniqueCount="365">
  <si>
    <t>MINIMUM PACKAGE HARMONIZED SERVICE QUALITY ASSESSMENT TOOL</t>
  </si>
  <si>
    <t>Province/Region:</t>
  </si>
  <si>
    <t>District:</t>
  </si>
  <si>
    <t>Health Facility:</t>
  </si>
  <si>
    <t>Type of Health Facility:</t>
  </si>
  <si>
    <t>Number of Adults currently on ART:</t>
  </si>
  <si>
    <t>Date of the SQA exercise</t>
  </si>
  <si>
    <t xml:space="preserve">Number of Children on ART </t>
  </si>
  <si>
    <t xml:space="preserve">Number of Adults on TB Treatment </t>
  </si>
  <si>
    <t>List of services/units assessed during this HSQA exercise:</t>
  </si>
  <si>
    <t>_</t>
  </si>
  <si>
    <t>Instructions</t>
  </si>
  <si>
    <r>
      <t>The HSQA Questionnaire includes 5 columns:
First Column (B): Specifies the name of the differents</t>
    </r>
    <r>
      <rPr>
        <b/>
        <sz val="11"/>
        <color theme="1"/>
        <rFont val="Arial"/>
        <family val="2"/>
      </rPr>
      <t xml:space="preserve"> Domains</t>
    </r>
    <r>
      <rPr>
        <sz val="11"/>
        <color theme="1"/>
        <rFont val="Arial"/>
        <family val="2"/>
      </rPr>
      <t xml:space="preserve"> to be assessed. 
Second Column (C): Describes the </t>
    </r>
    <r>
      <rPr>
        <b/>
        <sz val="11"/>
        <color theme="1"/>
        <rFont val="Arial"/>
        <family val="2"/>
      </rPr>
      <t>Standard</t>
    </r>
    <r>
      <rPr>
        <sz val="11"/>
        <color theme="1"/>
        <rFont val="Arial"/>
        <family val="2"/>
      </rPr>
      <t xml:space="preserve"> of each domain, and provides the questions for the standard assessment.
Third Column (D): Intended for entering figures of Denominators and Numerators, and provides some response options and instructions where applicable.</t>
    </r>
  </si>
  <si>
    <r>
      <t>Fourteen (14) Standards (Testing 1 and 2, Prevention, ART, TB 2 and 3, VLS 1 and 2, DSD 1 and 2, VTE EID 1, EID 2 and EID 3 and Supply 1) include introduction questions to check if the standard is applicable to the site or not. 
In case the standard is not applicable, select "</t>
    </r>
    <r>
      <rPr>
        <b/>
        <i/>
        <sz val="11"/>
        <color theme="1"/>
        <rFont val="Arial"/>
        <family val="2"/>
      </rPr>
      <t>NA</t>
    </r>
    <r>
      <rPr>
        <sz val="11"/>
        <color theme="1"/>
        <rFont val="Arial"/>
        <family val="2"/>
      </rPr>
      <t xml:space="preserve">" in </t>
    </r>
    <r>
      <rPr>
        <b/>
        <i/>
        <sz val="11"/>
        <color theme="1"/>
        <rFont val="Arial"/>
        <family val="2"/>
      </rPr>
      <t>column H</t>
    </r>
    <r>
      <rPr>
        <sz val="11"/>
        <color theme="1"/>
        <rFont val="Arial"/>
        <family val="2"/>
      </rPr>
      <t xml:space="preserve"> to skip the standard. Otherwise, select "</t>
    </r>
    <r>
      <rPr>
        <b/>
        <i/>
        <sz val="11"/>
        <color theme="1"/>
        <rFont val="Arial"/>
        <family val="2"/>
      </rPr>
      <t>YES</t>
    </r>
    <r>
      <rPr>
        <sz val="11"/>
        <color theme="1"/>
        <rFont val="Arial"/>
        <family val="2"/>
      </rPr>
      <t xml:space="preserve">" to proceed to the next question.
</t>
    </r>
    <r>
      <rPr>
        <b/>
        <i/>
        <sz val="11"/>
        <color theme="1"/>
        <rFont val="Arial"/>
        <family val="2"/>
      </rPr>
      <t>NB</t>
    </r>
    <r>
      <rPr>
        <sz val="11"/>
        <color theme="1"/>
        <rFont val="Arial"/>
        <family val="2"/>
      </rPr>
      <t xml:space="preserve">: for </t>
    </r>
    <r>
      <rPr>
        <b/>
        <i/>
        <sz val="11"/>
        <color theme="1"/>
        <rFont val="Arial"/>
        <family val="2"/>
      </rPr>
      <t>VLS 2 standard</t>
    </r>
    <r>
      <rPr>
        <sz val="11"/>
        <color theme="1"/>
        <rFont val="Arial"/>
        <family val="2"/>
      </rPr>
      <t>, "</t>
    </r>
    <r>
      <rPr>
        <b/>
        <i/>
        <sz val="11"/>
        <color theme="1"/>
        <rFont val="Arial"/>
        <family val="2"/>
      </rPr>
      <t>NA</t>
    </r>
    <r>
      <rPr>
        <sz val="11"/>
        <color theme="1"/>
        <rFont val="Arial"/>
        <family val="2"/>
      </rPr>
      <t xml:space="preserve">" can only be applied for </t>
    </r>
    <r>
      <rPr>
        <b/>
        <i/>
        <sz val="11"/>
        <color theme="1"/>
        <rFont val="Arial"/>
        <family val="2"/>
      </rPr>
      <t xml:space="preserve">the last 2 questions </t>
    </r>
    <r>
      <rPr>
        <sz val="11"/>
        <color theme="1"/>
        <rFont val="Arial"/>
        <family val="2"/>
      </rPr>
      <t>of the standard, not for the entire standard.</t>
    </r>
  </si>
  <si>
    <r>
      <t xml:space="preserve">Thirteen (13) standards have questions requesting </t>
    </r>
    <r>
      <rPr>
        <b/>
        <i/>
        <sz val="11"/>
        <color theme="1"/>
        <rFont val="Arial"/>
        <family val="2"/>
      </rPr>
      <t>Yes/No</t>
    </r>
    <r>
      <rPr>
        <sz val="11"/>
        <color theme="1"/>
        <rFont val="Arial"/>
        <family val="2"/>
      </rPr>
      <t xml:space="preserve"> responses </t>
    </r>
    <r>
      <rPr>
        <b/>
        <i/>
        <sz val="11"/>
        <color theme="1"/>
        <rFont val="Arial"/>
        <family val="2"/>
      </rPr>
      <t>by age category</t>
    </r>
    <r>
      <rPr>
        <sz val="11"/>
        <color theme="1"/>
        <rFont val="Arial"/>
        <family val="2"/>
      </rPr>
      <t xml:space="preserve"> (Children 0-9; Adolescents 10-18, Adult ≥19, PGW).
    </t>
    </r>
    <r>
      <rPr>
        <b/>
        <sz val="11"/>
        <color theme="1"/>
        <rFont val="Arial"/>
        <family val="2"/>
      </rPr>
      <t xml:space="preserve"> =&gt; </t>
    </r>
    <r>
      <rPr>
        <sz val="11"/>
        <color theme="1"/>
        <rFont val="Arial"/>
        <family val="2"/>
      </rPr>
      <t xml:space="preserve"> Responses to these questions should be entered for each age category in </t>
    </r>
    <r>
      <rPr>
        <b/>
        <i/>
        <sz val="11"/>
        <color theme="1"/>
        <rFont val="Arial"/>
        <family val="2"/>
      </rPr>
      <t>column I</t>
    </r>
    <r>
      <rPr>
        <sz val="11"/>
        <color theme="1"/>
        <rFont val="Arial"/>
        <family val="2"/>
      </rPr>
      <t xml:space="preserve">.
</t>
    </r>
    <r>
      <rPr>
        <b/>
        <i/>
        <sz val="11"/>
        <color theme="1"/>
        <rFont val="Arial"/>
        <family val="2"/>
      </rPr>
      <t>NB</t>
    </r>
    <r>
      <rPr>
        <sz val="11"/>
        <color theme="1"/>
        <rFont val="Arial"/>
        <family val="2"/>
      </rPr>
      <t xml:space="preserve">: In addition to the above, </t>
    </r>
    <r>
      <rPr>
        <b/>
        <i/>
        <sz val="11"/>
        <color theme="1"/>
        <rFont val="Arial"/>
        <family val="2"/>
      </rPr>
      <t>VLS 2</t>
    </r>
    <r>
      <rPr>
        <sz val="11"/>
        <color theme="1"/>
        <rFont val="Arial"/>
        <family val="2"/>
      </rPr>
      <t xml:space="preserve"> and </t>
    </r>
    <r>
      <rPr>
        <b/>
        <i/>
        <sz val="11"/>
        <color theme="1"/>
        <rFont val="Arial"/>
        <family val="2"/>
      </rPr>
      <t>DSD 1</t>
    </r>
    <r>
      <rPr>
        <sz val="11"/>
        <color theme="1"/>
        <rFont val="Arial"/>
        <family val="2"/>
      </rPr>
      <t xml:space="preserve"> standards also include questions requesting </t>
    </r>
    <r>
      <rPr>
        <b/>
        <i/>
        <sz val="11"/>
        <color theme="1"/>
        <rFont val="Arial"/>
        <family val="2"/>
      </rPr>
      <t>Yes/No</t>
    </r>
    <r>
      <rPr>
        <sz val="11"/>
        <color theme="1"/>
        <rFont val="Arial"/>
        <family val="2"/>
      </rPr>
      <t xml:space="preserve"> responses for </t>
    </r>
    <r>
      <rPr>
        <b/>
        <i/>
        <sz val="11"/>
        <color theme="1"/>
        <rFont val="Arial"/>
        <family val="2"/>
      </rPr>
      <t>multiple choice options</t>
    </r>
    <r>
      <rPr>
        <sz val="11"/>
        <color theme="1"/>
        <rFont val="Arial"/>
        <family val="2"/>
      </rPr>
      <t xml:space="preserve"> by age category:
     </t>
    </r>
    <r>
      <rPr>
        <b/>
        <sz val="11"/>
        <color theme="1"/>
        <rFont val="Arial"/>
        <family val="2"/>
      </rPr>
      <t>=&gt;</t>
    </r>
    <r>
      <rPr>
        <sz val="11"/>
        <color theme="1"/>
        <rFont val="Arial"/>
        <family val="2"/>
      </rPr>
      <t xml:space="preserve">  responses for these specific questions should be entered for each age category in the </t>
    </r>
    <r>
      <rPr>
        <b/>
        <i/>
        <sz val="11"/>
        <color theme="1"/>
        <rFont val="Arial"/>
        <family val="2"/>
      </rPr>
      <t>blue cells</t>
    </r>
    <r>
      <rPr>
        <sz val="11"/>
        <color theme="1"/>
        <rFont val="Arial"/>
        <family val="2"/>
      </rPr>
      <t xml:space="preserve"> of </t>
    </r>
    <r>
      <rPr>
        <b/>
        <i/>
        <sz val="11"/>
        <color theme="1"/>
        <rFont val="Arial"/>
        <family val="2"/>
      </rPr>
      <t>columns D, E</t>
    </r>
    <r>
      <rPr>
        <sz val="11"/>
        <color theme="1"/>
        <rFont val="Arial"/>
        <family val="2"/>
      </rPr>
      <t>, F, and</t>
    </r>
    <r>
      <rPr>
        <b/>
        <i/>
        <sz val="11"/>
        <color theme="1"/>
        <rFont val="Arial"/>
        <family val="2"/>
      </rPr>
      <t xml:space="preserve"> G</t>
    </r>
    <r>
      <rPr>
        <sz val="11"/>
        <color theme="1"/>
        <rFont val="Arial"/>
        <family val="2"/>
      </rPr>
      <t>.</t>
    </r>
  </si>
  <si>
    <r>
      <t xml:space="preserve">Seventeen (17) standards include questions requesting to provide </t>
    </r>
    <r>
      <rPr>
        <i/>
        <sz val="11"/>
        <color theme="1"/>
        <rFont val="Arial"/>
        <family val="2"/>
      </rPr>
      <t>a</t>
    </r>
    <r>
      <rPr>
        <b/>
        <i/>
        <sz val="11"/>
        <color theme="1"/>
        <rFont val="Arial"/>
        <family val="2"/>
      </rPr>
      <t xml:space="preserve"> Denominator </t>
    </r>
    <r>
      <rPr>
        <sz val="11"/>
        <color theme="1"/>
        <rFont val="Arial"/>
        <family val="2"/>
      </rPr>
      <t xml:space="preserve">and a </t>
    </r>
    <r>
      <rPr>
        <b/>
        <i/>
        <sz val="11"/>
        <color theme="1"/>
        <rFont val="Arial"/>
        <family val="2"/>
      </rPr>
      <t>Numerator</t>
    </r>
    <r>
      <rPr>
        <sz val="11"/>
        <color theme="1"/>
        <rFont val="Arial"/>
        <family val="2"/>
      </rPr>
      <t xml:space="preserve"> by </t>
    </r>
    <r>
      <rPr>
        <b/>
        <i/>
        <sz val="11"/>
        <color theme="1"/>
        <rFont val="Arial"/>
        <family val="2"/>
      </rPr>
      <t>age category</t>
    </r>
    <r>
      <rPr>
        <sz val="11"/>
        <color theme="1"/>
        <rFont val="Arial"/>
        <family val="2"/>
      </rPr>
      <t xml:space="preserve"> (Children 0-9; Adolescents 10-18, Adult ≥19, Infants 0-2).
      </t>
    </r>
    <r>
      <rPr>
        <b/>
        <sz val="11"/>
        <color theme="1"/>
        <rFont val="Arial"/>
        <family val="2"/>
      </rPr>
      <t xml:space="preserve"> =&gt; </t>
    </r>
    <r>
      <rPr>
        <sz val="11"/>
        <color theme="1"/>
        <rFont val="Arial"/>
        <family val="2"/>
      </rPr>
      <t>The Denominator and Numerator figures should be entered for each age category in the</t>
    </r>
    <r>
      <rPr>
        <b/>
        <i/>
        <sz val="11"/>
        <color theme="1"/>
        <rFont val="Arial"/>
        <family val="2"/>
      </rPr>
      <t xml:space="preserve"> blue cells</t>
    </r>
    <r>
      <rPr>
        <sz val="11"/>
        <color theme="1"/>
        <rFont val="Arial"/>
        <family val="2"/>
      </rPr>
      <t xml:space="preserve"> of </t>
    </r>
    <r>
      <rPr>
        <b/>
        <i/>
        <sz val="11"/>
        <color theme="1"/>
        <rFont val="Arial"/>
        <family val="2"/>
      </rPr>
      <t xml:space="preserve">columns D, E, F, </t>
    </r>
    <r>
      <rPr>
        <i/>
        <sz val="11"/>
        <color theme="1"/>
        <rFont val="Arial"/>
        <family val="2"/>
      </rPr>
      <t>and G</t>
    </r>
    <r>
      <rPr>
        <b/>
        <i/>
        <sz val="11"/>
        <color theme="1"/>
        <rFont val="Arial"/>
        <family val="2"/>
      </rPr>
      <t>.
NB: _</t>
    </r>
    <r>
      <rPr>
        <sz val="11"/>
        <color theme="1"/>
        <rFont val="Arial"/>
        <family val="2"/>
      </rPr>
      <t xml:space="preserve">for </t>
    </r>
    <r>
      <rPr>
        <b/>
        <i/>
        <sz val="11"/>
        <color theme="1"/>
        <rFont val="Arial"/>
        <family val="2"/>
      </rPr>
      <t>Prevention standard</t>
    </r>
    <r>
      <rPr>
        <sz val="11"/>
        <color theme="1"/>
        <rFont val="Arial"/>
        <family val="2"/>
      </rPr>
      <t xml:space="preserve">, there are only 2 age categories (Adolescents 10-18, Adult ≥19) and a Priority population category (Pregnant and Breastfeeding Girls and Women): figures should be entered in </t>
    </r>
    <r>
      <rPr>
        <b/>
        <i/>
        <sz val="11"/>
        <color theme="1"/>
        <rFont val="Arial"/>
        <family val="2"/>
      </rPr>
      <t xml:space="preserve">columns E, F, </t>
    </r>
    <r>
      <rPr>
        <i/>
        <sz val="11"/>
        <color theme="1"/>
        <rFont val="Arial"/>
        <family val="2"/>
      </rPr>
      <t>and</t>
    </r>
    <r>
      <rPr>
        <b/>
        <i/>
        <sz val="11"/>
        <color theme="1"/>
        <rFont val="Arial"/>
        <family val="2"/>
      </rPr>
      <t xml:space="preserve"> G
        _</t>
    </r>
    <r>
      <rPr>
        <sz val="11"/>
        <color theme="1"/>
        <rFont val="Arial"/>
        <family val="2"/>
      </rPr>
      <t xml:space="preserve">for </t>
    </r>
    <r>
      <rPr>
        <b/>
        <i/>
        <sz val="11"/>
        <color theme="1"/>
        <rFont val="Arial"/>
        <family val="2"/>
      </rPr>
      <t>DSD 2 standard</t>
    </r>
    <r>
      <rPr>
        <sz val="11"/>
        <color theme="1"/>
        <rFont val="Arial"/>
        <family val="2"/>
      </rPr>
      <t>, the Denominators and Numerators are not desaggregated by age category and should be entered in</t>
    </r>
    <r>
      <rPr>
        <b/>
        <i/>
        <sz val="11"/>
        <color theme="1"/>
        <rFont val="Arial"/>
        <family val="2"/>
      </rPr>
      <t xml:space="preserve"> column F</t>
    </r>
  </si>
  <si>
    <t>VTE EID 1, 2 and 3 standards include questions requesting to provide a Denominator and a Numerator for Infant category (Infants 0-2).
       =&gt; The Denominator and Numerator figures should be entered for each age category in the blue cells of column D.</t>
  </si>
  <si>
    <t>Scoring</t>
  </si>
  <si>
    <t>Color</t>
  </si>
  <si>
    <t>Value for scoring</t>
  </si>
  <si>
    <t>Description</t>
  </si>
  <si>
    <t>Sites overall Score</t>
  </si>
  <si>
    <t>Green</t>
  </si>
  <si>
    <t>3</t>
  </si>
  <si>
    <t>Meets standard</t>
  </si>
  <si>
    <t>&gt;=75% of the maximum score achievable</t>
  </si>
  <si>
    <t>Yellow</t>
  </si>
  <si>
    <t>2</t>
  </si>
  <si>
    <t>Needs improvement</t>
  </si>
  <si>
    <t>&gt;=50% and &lt;75% of the maximum score achievable</t>
  </si>
  <si>
    <t>Red</t>
  </si>
  <si>
    <t>1</t>
  </si>
  <si>
    <t>Needs urgent remediation</t>
  </si>
  <si>
    <t xml:space="preserve">&lt;50% of the maximum score achievable </t>
  </si>
  <si>
    <t>Gray</t>
  </si>
  <si>
    <t>None</t>
  </si>
  <si>
    <t>Not Applicable</t>
  </si>
  <si>
    <t>Not Applicable (NA)</t>
  </si>
  <si>
    <t>Domains</t>
  </si>
  <si>
    <t>Standards (Description and assessment questions)</t>
  </si>
  <si>
    <t>Denominator, Numerator, Multi choice options and instructions
(where applicable)</t>
  </si>
  <si>
    <t>Responses and Autogenerated Scores</t>
  </si>
  <si>
    <t>Color code
(based on responses)</t>
  </si>
  <si>
    <t>Value
(based on color codes)</t>
  </si>
  <si>
    <t>Domain score Thresholds</t>
  </si>
  <si>
    <t>Code for graphs</t>
  </si>
  <si>
    <t>Stigma 1</t>
  </si>
  <si>
    <t>Standard 1: All facility staff, including but not limited to health care workers and support staff, treat all individuals with care and respect, regardless of HIV status or their own socio-cultural, religious, or other beliefs. </t>
  </si>
  <si>
    <t>Does the facility have a written policy against stigma and discrimination based on HIV status and procedures (e.g. SOPs, guidelines) for enforcing this policy?  </t>
  </si>
  <si>
    <r>
      <t xml:space="preserve">Yes=Green
No = </t>
    </r>
    <r>
      <rPr>
        <b/>
        <sz val="11"/>
        <color theme="1"/>
        <rFont val="Arial"/>
        <family val="2"/>
      </rPr>
      <t>Red</t>
    </r>
  </si>
  <si>
    <t>Does the facility have a written and publicly posted policy on the right to healthcare for all, regardless of HIV status and other stigmatized issues like sexual orientation, gender identity, criminalized behavior)?   </t>
  </si>
  <si>
    <t>Yes=Green
No = Yellow</t>
  </si>
  <si>
    <t>Is there a documented process for orienting all staff members to these policies and enforcement procedures, including consequences for violating these policies (e.g. signed code of conduct)? </t>
  </si>
  <si>
    <r>
      <t>Yes=Green
No =</t>
    </r>
    <r>
      <rPr>
        <b/>
        <sz val="11"/>
        <color theme="1"/>
        <rFont val="Arial"/>
        <family val="2"/>
      </rPr>
      <t xml:space="preserve"> Yellow</t>
    </r>
  </si>
  <si>
    <t>Stigma 1 Domain SCORE</t>
  </si>
  <si>
    <t>4 (lowest) - 9 (highest) : 4-5 Red; 6-7 Yellow; 8-9 Green</t>
  </si>
  <si>
    <t>Stigma 2</t>
  </si>
  <si>
    <t xml:space="preserve">Standard 2: Labeling, organization, flow and structural layout of points of service delivery ensure privacy, confidentiality, and promote safety for all clients </t>
  </si>
  <si>
    <t>Are private consultation rooms available and consistently used for sensitive discussions and examinations? </t>
  </si>
  <si>
    <t>Are all sensitive conversations and examinations consistently done in a way that ensures privacy (e.g. implementation of soundproofing to prevent conversations from being overheard, physical barriers to protect identities, not conducting sensitive conversations in the waiting area)? (observation of rooms currently in use and discussion with staff)</t>
  </si>
  <si>
    <r>
      <t xml:space="preserve">Yes=Green
No = </t>
    </r>
    <r>
      <rPr>
        <b/>
        <sz val="11"/>
        <color theme="1"/>
        <rFont val="Arial"/>
        <family val="2"/>
      </rPr>
      <t xml:space="preserve">Yellow </t>
    </r>
  </si>
  <si>
    <t xml:space="preserve"> Are building entrances, waiting areas, charts, or any other products/processes labeled in ways that do not convey HIV status to other clients, staff, or visitors? </t>
  </si>
  <si>
    <t>Stigma 2 Domain SCORE</t>
  </si>
  <si>
    <t xml:space="preserve">Community Engagement </t>
  </si>
  <si>
    <t>Standard 3:  There is a strategy and defined process for stakeholder engagement, including with Civil Society Organizations (CSOs) and beneficiaries of HIV services. The strategy includes activities to elicit and use stakeholder feedback for (1) program planning and implementation at least every 6-months and (2) review and/or evaluation of program performance data at least every 4 months.</t>
  </si>
  <si>
    <t>Does this site have a  written strategy for stakeholder engagement that includes both (1) using stakeholder, including CSOs and beneficiaries, feedback for program planning and implementation, and  (2) Using stakeholder, including CSOs and beneficiaries, feedback for review and/or evaluation of program performance data?</t>
  </si>
  <si>
    <t>Are stakeholders, including CSOs and beneficiaries, engaged in planning and review activities? Incluing both 1) Stakeholders are engaged every 6-months in program planning and implementation activities, and  2) Stakeholders are engaged at least every 4 months in review and/or evaluation or performance data</t>
  </si>
  <si>
    <t xml:space="preserve">Does this site routinely collect and review  data related to client experience/ satisfaction and/or community led monitoring data? </t>
  </si>
  <si>
    <t>Community Engagement Domain SCORE</t>
  </si>
  <si>
    <t>Wait Times</t>
  </si>
  <si>
    <t>Standard 4: Health facilities should provide timely access to healthcare services to minimize patient waiting times, reduce congestion, and improve overall patient satisfaction with clear protocols in place to manage waiting times efficiently.</t>
  </si>
  <si>
    <t>Is there a documented process for monitoring and reducing client wait times in this health facility?</t>
  </si>
  <si>
    <t xml:space="preserve">Does this site regularly record and review waiting time data (Quartely or semi-annually)  for quality improvement? </t>
  </si>
  <si>
    <t>Does the average patient waiting time not exceed the facility’s target (e.g.,(Insert national target)</t>
  </si>
  <si>
    <t>Wait Times Domain SCORE</t>
  </si>
  <si>
    <t>HIV Testing Services1</t>
  </si>
  <si>
    <t>Standard 5:  All individuals including infants and children seeking care in outpatient, immunization clinics, chronic, and routine care settings are offered HIV testing Services (HTS) privately and confidentially in accordance with the National Guidelines.</t>
  </si>
  <si>
    <t xml:space="preserve">Do the national guidelines/policies INCLUDE National testing algorithms that consist of three serial validated rapid diagnostic tests to confirm HIV positive?                </t>
  </si>
  <si>
    <r>
      <t xml:space="preserve">Check </t>
    </r>
    <r>
      <rPr>
        <b/>
        <sz val="11"/>
        <rFont val="Arial"/>
        <family val="2"/>
      </rPr>
      <t>YES</t>
    </r>
    <r>
      <rPr>
        <sz val="11"/>
        <rFont val="Arial"/>
        <family val="2"/>
      </rPr>
      <t xml:space="preserve"> to proceed to next question
If no, Check </t>
    </r>
    <r>
      <rPr>
        <b/>
        <sz val="11"/>
        <rFont val="Arial"/>
        <family val="2"/>
      </rPr>
      <t>NA</t>
    </r>
    <r>
      <rPr>
        <sz val="11"/>
        <rFont val="Arial"/>
        <family val="2"/>
      </rPr>
      <t xml:space="preserve"> to skip this standard</t>
    </r>
  </si>
  <si>
    <t>Is HTS routinely offered to all patients in the STI, ANC, TB, HIV,Inpatient Department,  Nutrition clinics using the national HIV testing algorithm?</t>
  </si>
  <si>
    <r>
      <t xml:space="preserve">Select </t>
    </r>
    <r>
      <rPr>
        <b/>
        <sz val="11"/>
        <color theme="1"/>
        <rFont val="Arial"/>
        <family val="2"/>
      </rPr>
      <t>Yes</t>
    </r>
    <r>
      <rPr>
        <sz val="11"/>
        <color theme="1"/>
        <rFont val="Arial"/>
        <family val="2"/>
      </rPr>
      <t xml:space="preserve"> or</t>
    </r>
    <r>
      <rPr>
        <b/>
        <sz val="11"/>
        <color theme="1"/>
        <rFont val="Arial"/>
        <family val="2"/>
      </rPr>
      <t xml:space="preserve"> No</t>
    </r>
    <r>
      <rPr>
        <sz val="11"/>
        <color theme="1"/>
        <rFont val="Arial"/>
        <family val="2"/>
      </rPr>
      <t xml:space="preserve"> for each age category</t>
    </r>
  </si>
  <si>
    <t xml:space="preserve">Pregnant and Breastfeeding Girls and Women (PBGW) </t>
  </si>
  <si>
    <t>Children (0-9)</t>
  </si>
  <si>
    <t xml:space="preserve">Adolescents (10-18) </t>
  </si>
  <si>
    <t xml:space="preserve">Adults (≥19) </t>
  </si>
  <si>
    <r>
      <rPr>
        <sz val="11"/>
        <color rgb="FF000000"/>
        <rFont val="Arial"/>
      </rPr>
      <t>Review the last 10 register entries or charts of clients (per age category) who attended outpatient, immunization clinics, chronic, and routine care services in the last 3 months to confirm that HIV testing services were offered and documented.
What percentage of individual client records reviewed have documentation that HTS was offered?
(</t>
    </r>
    <r>
      <rPr>
        <b/>
        <i/>
        <sz val="11"/>
        <color rgb="FF000000"/>
        <rFont val="Arial"/>
      </rPr>
      <t>Enter Denominator and Numerator in column D, E and F for each age category</t>
    </r>
    <r>
      <rPr>
        <sz val="11"/>
        <color rgb="FF000000"/>
        <rFont val="Arial"/>
      </rPr>
      <t>)</t>
    </r>
  </si>
  <si>
    <t>PBGW</t>
  </si>
  <si>
    <t>Children
(0-9)</t>
  </si>
  <si>
    <t xml:space="preserve">Adolescents
(10-18) </t>
  </si>
  <si>
    <t xml:space="preserve">Adults
(≥19) </t>
  </si>
  <si>
    <t>Autocalculated percentage</t>
  </si>
  <si>
    <r>
      <rPr>
        <b/>
        <i/>
        <sz val="11"/>
        <rFont val="Arial"/>
        <family val="2"/>
      </rPr>
      <t>Denominator</t>
    </r>
    <r>
      <rPr>
        <sz val="11"/>
        <rFont val="Arial"/>
        <family val="2"/>
      </rPr>
      <t xml:space="preserve"> (# of records reviewed)</t>
    </r>
  </si>
  <si>
    <t>&lt;70% = Red
70% - 89% = Yellow
≥90% = Green</t>
  </si>
  <si>
    <r>
      <rPr>
        <b/>
        <i/>
        <sz val="11"/>
        <rFont val="Arial"/>
        <family val="2"/>
      </rPr>
      <t>Numerator</t>
    </r>
    <r>
      <rPr>
        <sz val="11"/>
        <rFont val="Arial"/>
        <family val="2"/>
      </rPr>
      <t xml:space="preserve"> (# of records with HTS offered and documented)</t>
    </r>
  </si>
  <si>
    <t>Testing 1 Domain SCORE</t>
  </si>
  <si>
    <t>8 (lowest) - 24 (highest) : 8-13 Red; 14-19 Yellow; 20-24 Green</t>
  </si>
  <si>
    <t>HIV Testing Services 2</t>
  </si>
  <si>
    <t>Standard 6:  All newly diagnosed people (children, adolescents, adults) living with HIV are retested to verify their HIV diagnosis prior to, or at the time of, ART initiation using the national HIV testing algorithm.</t>
  </si>
  <si>
    <r>
      <rPr>
        <b/>
        <i/>
        <sz val="11"/>
        <rFont val="Arial"/>
        <family val="2"/>
      </rPr>
      <t xml:space="preserve">Do the national HIV Testing Services (HTS) or ART guidelines include retesting for verification prior to or at ART initiation?   </t>
    </r>
    <r>
      <rPr>
        <i/>
        <sz val="11"/>
        <rFont val="Arial"/>
        <family val="2"/>
      </rPr>
      <t xml:space="preserve">                                                                                                              
HIV Retesting for verification occurs prior to or at the time of ART initiation using a new specimen from either
1. A newly diagnosed individual or
2. A previously diagnosed individual who has not initiated ART. 
• In either case, a provider different from the provider who performed the previous HIV tests for that individual must conduct retesting for verification.   </t>
    </r>
  </si>
  <si>
    <t xml:space="preserve">Is there a standardized process available for conducting and documenting retesting for verification prior to or at ART initiation? </t>
  </si>
  <si>
    <t xml:space="preserve">Pregnant and Breastfeeding Girls and Women </t>
  </si>
  <si>
    <r>
      <t>Review the last 10 register entries or charts of clients (per age category) who newly initiated ART in the last 3 months to confirm that retesting for verification prior to or at ART initiation is documented.
What percent of adult and adolescent client records reviewed have documentation that retesting for verification occurred before ART initiation? (i.e., the site knows the client or client was retested for verification before/at ART initiation)
(</t>
    </r>
    <r>
      <rPr>
        <b/>
        <i/>
        <sz val="11"/>
        <rFont val="Arial"/>
        <family val="2"/>
      </rPr>
      <t>Enter Denominator and Numerator in column D, E and F for each age category</t>
    </r>
    <r>
      <rPr>
        <sz val="11"/>
        <rFont val="Arial"/>
        <family val="2"/>
      </rPr>
      <t>)</t>
    </r>
  </si>
  <si>
    <r>
      <rPr>
        <b/>
        <i/>
        <sz val="11"/>
        <rFont val="Arial"/>
        <family val="2"/>
      </rPr>
      <t>Numerator</t>
    </r>
    <r>
      <rPr>
        <sz val="11"/>
        <rFont val="Arial"/>
        <family val="2"/>
      </rPr>
      <t xml:space="preserve"> (# of records with documented retesting for verification)</t>
    </r>
  </si>
  <si>
    <t>Testing 2 Domain SCORE</t>
  </si>
  <si>
    <t xml:space="preserve">Prevention </t>
  </si>
  <si>
    <t>Standard 7: HIV uninfected individuals (adults) are offered  Pre Exposure Prophylasis (PrEP) (any or all forms), according to guidelines and national policy</t>
  </si>
  <si>
    <t>Do the national policy includes the provision of PrEP ?</t>
  </si>
  <si>
    <t>Is this site accredited to provide PrEP services?</t>
  </si>
  <si>
    <t>Is PrEP (any form or type including oral and injectable) offered at this health facility? (enter response for each age category)</t>
  </si>
  <si>
    <t>Are PrEP services available at all times at this health facility?  (enter response for each age category)</t>
  </si>
  <si>
    <t>Are SoP's in place to ensure that adolescents have access to PrEP?  (enter response for each age category)</t>
  </si>
  <si>
    <t>Does this health facility have standardized risk assessment/  eligibility screening tools to assess HIV risk and determine PrEP elegilbity?  (enter response for each age category )</t>
  </si>
  <si>
    <r>
      <t>Review the last 10 register entries or charts per age category (whichever source has the most updated information) of HIV uninfected individuals who attended the clinic within the last 90 days.
What percentage of register entries or charts reviewed show evidence that HIV uninfected clients received PrEP screening?
(</t>
    </r>
    <r>
      <rPr>
        <b/>
        <i/>
        <sz val="11"/>
        <rFont val="Arial"/>
        <family val="2"/>
      </rPr>
      <t>Enter Denominator and Numerator in column E and F for each age category</t>
    </r>
    <r>
      <rPr>
        <sz val="11"/>
        <rFont val="Arial"/>
        <family val="2"/>
      </rPr>
      <t>)</t>
    </r>
  </si>
  <si>
    <t xml:space="preserve">PBGW </t>
  </si>
  <si>
    <r>
      <rPr>
        <b/>
        <i/>
        <sz val="11"/>
        <rFont val="Arial"/>
        <family val="2"/>
      </rPr>
      <t>Denominator</t>
    </r>
    <r>
      <rPr>
        <sz val="11"/>
        <rFont val="Arial"/>
        <family val="2"/>
      </rPr>
      <t xml:space="preserve"> (# of register entries or charts reviewed of clients who tested negative for HIV who attended the clinic within the last 90 days)</t>
    </r>
  </si>
  <si>
    <r>
      <rPr>
        <b/>
        <i/>
        <sz val="11"/>
        <rFont val="Arial"/>
        <family val="2"/>
      </rPr>
      <t>Numerator</t>
    </r>
    <r>
      <rPr>
        <sz val="11"/>
        <rFont val="Arial"/>
        <family val="2"/>
      </rPr>
      <t xml:space="preserve"> (# of register entries or charts reviewed of clients uninfected with HIV who received PrEP screening who attended the health facility within the last 90 days)</t>
    </r>
  </si>
  <si>
    <t>Prevention Domain SCORE</t>
  </si>
  <si>
    <t>15 (lowest) - 45 (highest) : 15-24 Red; 25-34 Yellow; 35-45 Green</t>
  </si>
  <si>
    <t xml:space="preserve">HIV Testing Linkage To Treatment </t>
  </si>
  <si>
    <t>Standard 8: All sites that provide HTS have a standardized protocol or process for tracking successful and unsuccessful linkage of HIV-infected clients to HIV care and treatment services.</t>
  </si>
  <si>
    <t>Is an active linkage to care and treatment protocol or standardized process available to facilitate linkage to HIV care and treatment services for those who test positive (e.g., use of standard referral forms, peer navigators, transport vouchers, etc.)?</t>
  </si>
  <si>
    <t>Does the protocol or standardized process include requirements to confirm and document successful linkage to HIV care and treatment services (e.g., documented completed phone call, verification by a peer navigator, etc.)?</t>
  </si>
  <si>
    <t>Does the protocol or standardized protocol from above include following up with HIV-positive clients who fail to enroll in HIV treatment services (e.g., documented completed phone call, verification by a peer navigator, etc.)?</t>
  </si>
  <si>
    <r>
      <t xml:space="preserve">Review the last 10 clients per age category identified as HIV positive within the last 3 months from the HTS register to determine the percentage of HIV positive clients who were successfully linked to treatment services.
Of the 10 clients selected for review, what percentage were successfully linked to treatment </t>
    </r>
    <r>
      <rPr>
        <b/>
        <sz val="11"/>
        <rFont val="Arial"/>
        <family val="2"/>
      </rPr>
      <t>AND</t>
    </r>
    <r>
      <rPr>
        <sz val="11"/>
        <rFont val="Arial"/>
        <family val="2"/>
      </rPr>
      <t xml:space="preserve"> remained engaged in the first 90 days (i.e., the site knows the client was successfully initiated on ART </t>
    </r>
    <r>
      <rPr>
        <b/>
        <sz val="11"/>
        <rFont val="Arial"/>
        <family val="2"/>
      </rPr>
      <t>AND</t>
    </r>
    <r>
      <rPr>
        <sz val="11"/>
        <rFont val="Arial"/>
        <family val="2"/>
      </rPr>
      <t xml:space="preserve"> did not interrupt TX_IIT&lt;90)?
(</t>
    </r>
    <r>
      <rPr>
        <b/>
        <i/>
        <sz val="11"/>
        <rFont val="Arial"/>
        <family val="2"/>
      </rPr>
      <t>Enter Denominator and Numerator in columns D, E, and F for each age category</t>
    </r>
    <r>
      <rPr>
        <sz val="11"/>
        <rFont val="Arial"/>
        <family val="2"/>
      </rPr>
      <t>)</t>
    </r>
  </si>
  <si>
    <r>
      <rPr>
        <b/>
        <i/>
        <sz val="11"/>
        <rFont val="Arial"/>
        <family val="2"/>
      </rPr>
      <t>Denominator</t>
    </r>
    <r>
      <rPr>
        <sz val="11"/>
        <rFont val="Arial"/>
        <family val="2"/>
      </rPr>
      <t xml:space="preserve"> (# of reviewed files of clients who identified as HIV positive within the last 3 months)</t>
    </r>
  </si>
  <si>
    <r>
      <rPr>
        <b/>
        <i/>
        <sz val="11"/>
        <rFont val="Arial"/>
        <family val="2"/>
      </rPr>
      <t>Numerator</t>
    </r>
    <r>
      <rPr>
        <sz val="11"/>
        <rFont val="Arial"/>
        <family val="2"/>
      </rPr>
      <t xml:space="preserve"> (# of reviewed records of clients who were successfully linked to treatment and returned for their next appointment (i.e., the site knows the client or beneficiary was successfully initiated on ART and engaged early int treatment)</t>
    </r>
  </si>
  <si>
    <t>Testing Linkage Domain SCORE</t>
  </si>
  <si>
    <t>16 (lowest) - 48 (highest) : 16-26 Red; 27-37 Yellow; 38-48 Green</t>
  </si>
  <si>
    <t>ART</t>
  </si>
  <si>
    <t>Standard 9: HIV-positive individuals (all ages) are offered the option of rapid or same-day ART, according to guidelines and national policy for each age group</t>
  </si>
  <si>
    <t>Is rapid or same-day ART currently a part of or allowed per national guidelines?</t>
  </si>
  <si>
    <t>Does this site offer rapid ART initiation/test and start (within 7 days of diagnosis) OR same-day initiation to newly diagnosed individuals (all ages)?</t>
  </si>
  <si>
    <t>Select Yes or No for each age category</t>
  </si>
  <si>
    <r>
      <t>Review the last 10 register entries or charts per age category (whichever source has the most updated information) of newly diagnosed HIV-positive individuals who attended the clinic within the last 90 days.
What percentage of register entries or charts reviewed show evidence that HIV-positive clients received same day or rapid ART initiation? (</t>
    </r>
    <r>
      <rPr>
        <b/>
        <i/>
        <sz val="11"/>
        <rFont val="Arial"/>
        <family val="2"/>
      </rPr>
      <t>Enter Denominator and Numerator in column D, E and F for each age category</t>
    </r>
    <r>
      <rPr>
        <sz val="11"/>
        <rFont val="Arial"/>
        <family val="2"/>
      </rPr>
      <t xml:space="preserve">)
</t>
    </r>
    <r>
      <rPr>
        <b/>
        <i/>
        <sz val="11"/>
        <rFont val="Arial"/>
        <family val="2"/>
      </rPr>
      <t>Note:</t>
    </r>
    <r>
      <rPr>
        <i/>
        <sz val="11"/>
        <rFont val="Arial"/>
        <family val="2"/>
      </rPr>
      <t xml:space="preserve"> Records should only be from newly diagnosed HIV-positive clients</t>
    </r>
  </si>
  <si>
    <r>
      <rPr>
        <b/>
        <i/>
        <sz val="11"/>
        <rFont val="Arial"/>
        <family val="2"/>
      </rPr>
      <t>Denominator</t>
    </r>
    <r>
      <rPr>
        <sz val="11"/>
        <rFont val="Arial"/>
        <family val="2"/>
      </rPr>
      <t xml:space="preserve"> (# of register entries or charts reviewed of newly diagnosed individuals who attended the clinic within the last 90 days)</t>
    </r>
  </si>
  <si>
    <t>ART Domain SCORE</t>
  </si>
  <si>
    <t>CTX</t>
  </si>
  <si>
    <t>Standard 10: Eligible clients living with HIV  (all ages) have documented prescription of cotrimoxazole (CTX), according to national guidelines for each age group</t>
  </si>
  <si>
    <r>
      <t>Note on CTX eligibility from WHO includes: 
1.	Provide cotrimoxazole prophylaxis to adults with Stage 3 and 4 or CD4 &lt;350. 
2.	Provide cotrimoxazole to patients living with HIV and TB,
3.	Provide cotrimoxazole to children living with HIV
4.	Provide cotrimoxazole to HIV exposed infants.  
Please adapt the eligibility requirements per national guidelines.                                                                                                                                         
Review the last 10 register entries or charts per age category (whichever source has the most updated information) of individuals on ART &gt;12 months. Of the 10 records, select clients eligible for CTX based on the national guidelines. Include that number in the denominator, even if it is less than 10. 
What percent of all clients living with HIV records reviewed have documentation of CTX prescription per the national guidelines at the last clinical assessment? (</t>
    </r>
    <r>
      <rPr>
        <b/>
        <i/>
        <sz val="11"/>
        <rFont val="Arial"/>
        <family val="2"/>
      </rPr>
      <t>Enter Denominator and Numerator in columns D, E, and F for each age category)</t>
    </r>
  </si>
  <si>
    <r>
      <rPr>
        <b/>
        <i/>
        <sz val="11"/>
        <rFont val="Arial"/>
        <family val="2"/>
      </rPr>
      <t>Denominator</t>
    </r>
    <r>
      <rPr>
        <sz val="11"/>
        <rFont val="Arial"/>
        <family val="2"/>
      </rPr>
      <t xml:space="preserve"> (# of CTX eligible (per national guidelines) client records reviewed)</t>
    </r>
  </si>
  <si>
    <r>
      <rPr>
        <b/>
        <i/>
        <sz val="11"/>
        <rFont val="Arial"/>
        <family val="2"/>
      </rPr>
      <t>Numerator</t>
    </r>
    <r>
      <rPr>
        <sz val="11"/>
        <rFont val="Arial"/>
        <family val="2"/>
      </rPr>
      <t xml:space="preserve"> (# of reviewed records of those eligible, who received a CTX prescription)</t>
    </r>
  </si>
  <si>
    <t>CTX Domain SCORE</t>
  </si>
  <si>
    <t>4 (lowest) - 12 (highest): 4-6 Red; 7-9 Yellow; 10-12 Green</t>
  </si>
  <si>
    <t>TB 1</t>
  </si>
  <si>
    <t>Standard 11: All persons living with HIV  (all ages) have documentation of TB screening for active tuberculosis (TB) on intake AND at each clinical visit according to national guidelines</t>
  </si>
  <si>
    <t>Is there a standardized practice for TB screening and documentation at each clinical assessment per national guidelines?</t>
  </si>
  <si>
    <r>
      <t>Review the last 10 register entries or charts per age category (whichever source has the most updated information) of all individuals living with HIV on ART ≥12 months.
What percentage of individual records reviewed have documented TB-symptom screening results at</t>
    </r>
    <r>
      <rPr>
        <b/>
        <sz val="11"/>
        <rFont val="Arial"/>
        <family val="2"/>
      </rPr>
      <t xml:space="preserve"> initiation?</t>
    </r>
    <r>
      <rPr>
        <sz val="11"/>
        <rFont val="Arial"/>
        <family val="2"/>
      </rPr>
      <t xml:space="preserve"> (</t>
    </r>
    <r>
      <rPr>
        <b/>
        <i/>
        <sz val="11"/>
        <rFont val="Arial"/>
        <family val="2"/>
      </rPr>
      <t>Enter Denominator and Numerator in column D, E and F for each age category</t>
    </r>
    <r>
      <rPr>
        <sz val="11"/>
        <rFont val="Arial"/>
        <family val="2"/>
      </rPr>
      <t>)</t>
    </r>
  </si>
  <si>
    <r>
      <rPr>
        <b/>
        <i/>
        <sz val="11"/>
        <rFont val="Arial"/>
        <family val="2"/>
      </rPr>
      <t>Denominator</t>
    </r>
    <r>
      <rPr>
        <sz val="11"/>
        <rFont val="Arial"/>
        <family val="2"/>
      </rPr>
      <t xml:space="preserve"> (# of of register entries or charts reviewed from all individuals living with HIV on ART ≥12 months)</t>
    </r>
  </si>
  <si>
    <r>
      <rPr>
        <b/>
        <i/>
        <sz val="11"/>
        <rFont val="Arial"/>
        <family val="2"/>
      </rPr>
      <t>Numerator</t>
    </r>
    <r>
      <rPr>
        <sz val="11"/>
        <rFont val="Arial"/>
        <family val="2"/>
      </rPr>
      <t xml:space="preserve"> (# of register entries or charts reviewed, from all individuals living with HIV on ART ≥12 months, with documented TB-symptom screening results</t>
    </r>
    <r>
      <rPr>
        <b/>
        <sz val="11"/>
        <rFont val="Arial"/>
        <family val="2"/>
      </rPr>
      <t xml:space="preserve"> at initiation</t>
    </r>
    <r>
      <rPr>
        <sz val="11"/>
        <rFont val="Arial"/>
        <family val="2"/>
      </rPr>
      <t>)</t>
    </r>
  </si>
  <si>
    <t>sni</t>
  </si>
  <si>
    <r>
      <t xml:space="preserve">Review the last 10 register entries or charts per age category (whichever source has the most updated information) of all individuals living with HIV on ART ≥12 months.
What percentage of individual records reviewed have documented TB-symptom screening results at the </t>
    </r>
    <r>
      <rPr>
        <b/>
        <sz val="11"/>
        <rFont val="Arial"/>
        <family val="2"/>
      </rPr>
      <t>last clinical assessment</t>
    </r>
    <r>
      <rPr>
        <sz val="11"/>
        <rFont val="Arial"/>
        <family val="2"/>
      </rPr>
      <t>? (</t>
    </r>
    <r>
      <rPr>
        <b/>
        <i/>
        <sz val="11"/>
        <rFont val="Arial"/>
        <family val="2"/>
      </rPr>
      <t>Enter Denominator and Numerator in column D, E and F for each age category</t>
    </r>
    <r>
      <rPr>
        <sz val="11"/>
        <rFont val="Arial"/>
        <family val="2"/>
      </rPr>
      <t>)</t>
    </r>
  </si>
  <si>
    <r>
      <rPr>
        <b/>
        <i/>
        <sz val="11"/>
        <rFont val="Arial"/>
        <family val="2"/>
      </rPr>
      <t>Numerator</t>
    </r>
    <r>
      <rPr>
        <sz val="11"/>
        <rFont val="Arial"/>
        <family val="2"/>
      </rPr>
      <t xml:space="preserve"> (# of register entries or charts reviewed, from all individuals living with HIV on ART ≥12 months, with documented TB-symptom screening results</t>
    </r>
    <r>
      <rPr>
        <b/>
        <sz val="11"/>
        <rFont val="Arial"/>
        <family val="2"/>
      </rPr>
      <t xml:space="preserve"> at the last clinical assesment</t>
    </r>
  </si>
  <si>
    <t>TB 1 Domain SCORE</t>
  </si>
  <si>
    <t>12 (lowest) - 36 (highest) : 12-19 Red; 20-28 Yellow; 29-36 Green</t>
  </si>
  <si>
    <t>TB 2</t>
  </si>
  <si>
    <t>Standard 12: All individuals with HIV who screen negative for active tuberculosis (TB) receive TB Preventive Treatment (TPT) per national guidelines for all age groups</t>
  </si>
  <si>
    <r>
      <t>Are there PLHIV clients who screen negative for TB within the last 90 days</t>
    </r>
    <r>
      <rPr>
        <b/>
        <i/>
        <sz val="11"/>
        <rFont val="Arial"/>
        <family val="2"/>
      </rPr>
      <t>?</t>
    </r>
  </si>
  <si>
    <t>Is there a standardized practice for administration of TPT among all clients living with HIV?</t>
  </si>
  <si>
    <r>
      <t xml:space="preserve">Does this site have a TPT register and/or another method that allows tracking of who </t>
    </r>
    <r>
      <rPr>
        <i/>
        <sz val="11"/>
        <rFont val="Arial"/>
        <family val="2"/>
      </rPr>
      <t xml:space="preserve">started </t>
    </r>
    <r>
      <rPr>
        <sz val="11"/>
        <rFont val="Arial"/>
        <family val="2"/>
      </rPr>
      <t xml:space="preserve">and </t>
    </r>
    <r>
      <rPr>
        <i/>
        <sz val="11"/>
        <rFont val="Arial"/>
        <family val="2"/>
      </rPr>
      <t xml:space="preserve">completed </t>
    </r>
    <r>
      <rPr>
        <sz val="11"/>
        <rFont val="Arial"/>
        <family val="2"/>
      </rPr>
      <t xml:space="preserve">TPT within a given reporting period? (enter response for each age category)
</t>
    </r>
    <r>
      <rPr>
        <b/>
        <i/>
        <sz val="11"/>
        <rFont val="Arial"/>
        <family val="2"/>
      </rPr>
      <t xml:space="preserve">Note: </t>
    </r>
    <r>
      <rPr>
        <i/>
        <sz val="11"/>
        <rFont val="Arial"/>
        <family val="2"/>
      </rPr>
      <t>“Completed” includes those clients who started and completed 3 or 6 months of TPT and those on continuous TPT after 3 or 6 months of “completion”(3 vs 6 month is dependent on regimen-specific duration).</t>
    </r>
  </si>
  <si>
    <r>
      <rPr>
        <i/>
        <sz val="11"/>
        <rFont val="Arial"/>
        <family val="2"/>
      </rPr>
      <t xml:space="preserve">Review the last 10 register entries or charts per age category 
</t>
    </r>
    <r>
      <rPr>
        <sz val="11"/>
        <rFont val="Arial"/>
        <family val="2"/>
      </rPr>
      <t xml:space="preserve">
What percent of reviewed records show evidence that clients living with HIV, who screened negative for active TB during their HIV clinic visits and were TPT eligible (per national guidelines per age group), were ever initiated on TPT?
 (</t>
    </r>
    <r>
      <rPr>
        <b/>
        <i/>
        <sz val="11"/>
        <rFont val="Arial"/>
        <family val="2"/>
      </rPr>
      <t>Enter Denominator and Numerator in column D, E and F for each age category</t>
    </r>
    <r>
      <rPr>
        <sz val="11"/>
        <rFont val="Arial"/>
        <family val="2"/>
      </rPr>
      <t>)</t>
    </r>
  </si>
  <si>
    <r>
      <rPr>
        <b/>
        <i/>
        <sz val="11"/>
        <rFont val="Arial"/>
        <family val="2"/>
      </rPr>
      <t>Denominator</t>
    </r>
    <r>
      <rPr>
        <sz val="11"/>
        <rFont val="Arial"/>
        <family val="2"/>
      </rPr>
      <t xml:space="preserve"> (# of register entries or charts reviewed from individuals  on ART ≥12 months who screened negative for active TB during their HIV clinic visits)</t>
    </r>
  </si>
  <si>
    <r>
      <rPr>
        <b/>
        <i/>
        <sz val="11"/>
        <rFont val="Arial"/>
        <family val="2"/>
      </rPr>
      <t>Numerator</t>
    </r>
    <r>
      <rPr>
        <sz val="11"/>
        <rFont val="Arial"/>
        <family val="2"/>
      </rPr>
      <t xml:space="preserve"> (# of register entries or charts reviewed, from individuals on ART  who screened negative for active TB during their HIV clinic visits, with evidence showing</t>
    </r>
    <r>
      <rPr>
        <b/>
        <sz val="11"/>
        <rFont val="Arial"/>
        <family val="2"/>
      </rPr>
      <t xml:space="preserve"> the client was started and completed  on TPT</t>
    </r>
    <r>
      <rPr>
        <sz val="11"/>
        <rFont val="Arial"/>
        <family val="2"/>
      </rPr>
      <t>)</t>
    </r>
  </si>
  <si>
    <r>
      <rPr>
        <i/>
        <sz val="11"/>
        <rFont val="Arial"/>
        <family val="2"/>
      </rPr>
      <t xml:space="preserve">Review the last 10 register entries or charts per age category 
</t>
    </r>
    <r>
      <rPr>
        <sz val="11"/>
        <rFont val="Arial"/>
        <family val="2"/>
      </rPr>
      <t>What percentage of records demonstrate that TPT was inititiated appropriately? 
 (</t>
    </r>
    <r>
      <rPr>
        <b/>
        <i/>
        <sz val="11"/>
        <rFont val="Arial"/>
        <family val="2"/>
      </rPr>
      <t>Enter Denominator and Numerator in column D, E and F for each age category</t>
    </r>
    <r>
      <rPr>
        <sz val="11"/>
        <rFont val="Arial"/>
        <family val="2"/>
      </rPr>
      <t>)</t>
    </r>
  </si>
  <si>
    <r>
      <rPr>
        <b/>
        <i/>
        <sz val="11"/>
        <rFont val="Arial"/>
        <family val="2"/>
      </rPr>
      <t>Denominator</t>
    </r>
    <r>
      <rPr>
        <sz val="11"/>
        <rFont val="Arial"/>
        <family val="2"/>
      </rPr>
      <t xml:space="preserve"> Number of individuals on ART ≥12 months who screened negative for active TB</t>
    </r>
  </si>
  <si>
    <r>
      <rPr>
        <b/>
        <i/>
        <sz val="11"/>
        <rFont val="Arial"/>
        <family val="2"/>
      </rPr>
      <t>Numerator</t>
    </r>
    <r>
      <rPr>
        <sz val="11"/>
        <rFont val="Arial"/>
        <family val="2"/>
      </rPr>
      <t xml:space="preserve"> Number of individuals on ART ≥12 months who screened negative for active TB and were initiated on TPT during the review period</t>
    </r>
  </si>
  <si>
    <r>
      <rPr>
        <i/>
        <sz val="11"/>
        <rFont val="Arial"/>
        <family val="2"/>
      </rPr>
      <t xml:space="preserve">Review the last 10 register entries or charts per age category                                                                                
</t>
    </r>
    <r>
      <rPr>
        <sz val="11"/>
        <rFont val="Arial"/>
        <family val="2"/>
      </rPr>
      <t>What percentage of charts reviewed of clients who initiate TPT demonstrate that TPT treatment was sucessfully completed? 
 (</t>
    </r>
    <r>
      <rPr>
        <b/>
        <i/>
        <sz val="11"/>
        <rFont val="Arial"/>
        <family val="2"/>
      </rPr>
      <t>Enter Denominator and Numerator in column D, E and F for each age category</t>
    </r>
    <r>
      <rPr>
        <sz val="11"/>
        <rFont val="Arial"/>
        <family val="2"/>
      </rPr>
      <t>)</t>
    </r>
  </si>
  <si>
    <r>
      <rPr>
        <b/>
        <i/>
        <sz val="11"/>
        <rFont val="Arial"/>
        <family val="2"/>
      </rPr>
      <t>Denominator</t>
    </r>
    <r>
      <rPr>
        <sz val="11"/>
        <rFont val="Arial"/>
        <family val="2"/>
      </rPr>
      <t xml:space="preserve"> Number of individuals on ART ≥12 months who initiated a course of TPT during the reporting period</t>
    </r>
  </si>
  <si>
    <r>
      <rPr>
        <b/>
        <i/>
        <sz val="11"/>
        <rFont val="Arial"/>
        <family val="2"/>
      </rPr>
      <t>Numerator</t>
    </r>
    <r>
      <rPr>
        <sz val="11"/>
        <rFont val="Arial"/>
        <family val="2"/>
      </rPr>
      <t xml:space="preserve"> Number of individuals on ART ≥12 months who completed a course of TPT during the reporting period</t>
    </r>
  </si>
  <si>
    <t>TB 2 Domain SCORE</t>
  </si>
  <si>
    <t>20 (lowest) - 60 (highest) : 20-33 Red; 34-47 Yellow; 48-60 Green</t>
  </si>
  <si>
    <t>TB 3</t>
  </si>
  <si>
    <t>Standard 13: All individuals with HIV who screen positive for active tuberculosis (TB) have a specimen sent for active TB disease diagnosis</t>
  </si>
  <si>
    <r>
      <t>Are there PLHIV clients who screen positive for TB within the last 90 days</t>
    </r>
    <r>
      <rPr>
        <b/>
        <i/>
        <sz val="11"/>
        <rFont val="Arial"/>
        <family val="2"/>
      </rPr>
      <t>?</t>
    </r>
  </si>
  <si>
    <t>Are there standardized procedures for documenting HIV-positive clients (all age categories)  with presumptive TB and providing referral and follow-up to ensure TB diagnostic evaluation (e.g., smear, culture or Xpert MTB/RIF)? (enter response for each age category)</t>
  </si>
  <si>
    <t>Is there a line list/register for HIV-positive clients (all age categories) with presumptive TB to document diagnostic evaluation and treatment? (enter response for each age category)</t>
  </si>
  <si>
    <r>
      <t>Review the last 10 entries per age category in the line list/register of HIVpositive clients (all ages) with presumptive TB.
What percent of the reviewed entries of HIV-positive adult and adolescent patients who are presumed to have TB have documented smear microscopy, culture or Xpert MTB/RIF results? (</t>
    </r>
    <r>
      <rPr>
        <b/>
        <i/>
        <sz val="11"/>
        <rFont val="Arial"/>
        <family val="2"/>
      </rPr>
      <t>Enter Denominator and Numerator in column D, E and F for each age category</t>
    </r>
    <r>
      <rPr>
        <sz val="11"/>
        <rFont val="Arial"/>
        <family val="2"/>
      </rPr>
      <t>)</t>
    </r>
  </si>
  <si>
    <r>
      <rPr>
        <b/>
        <i/>
        <sz val="11"/>
        <rFont val="Arial"/>
        <family val="2"/>
      </rPr>
      <t>Denominator</t>
    </r>
    <r>
      <rPr>
        <sz val="11"/>
        <rFont val="Arial"/>
        <family val="2"/>
      </rPr>
      <t xml:space="preserve"> (# of reviewed entries of HIV-positive (all age categories) who are presumed to have TB)</t>
    </r>
  </si>
  <si>
    <r>
      <rPr>
        <b/>
        <i/>
        <sz val="11"/>
        <rFont val="Arial"/>
        <family val="2"/>
      </rPr>
      <t>Numerator</t>
    </r>
    <r>
      <rPr>
        <sz val="11"/>
        <rFont val="Arial"/>
        <family val="2"/>
      </rPr>
      <t xml:space="preserve"> (# of reviewed entries of HIV-positive clients (all age categories) who are presumed to have TB with documented smear microscopy, culture or Xpert MTB/RIF results)</t>
    </r>
  </si>
  <si>
    <t>TB 3 Domain SCORE</t>
  </si>
  <si>
    <t>VLS 1</t>
  </si>
  <si>
    <r>
      <t xml:space="preserve">Standard 14: Clients on antiretroviral therapy (ART) receive routine monitoring for virologic suppression (i.e., VL </t>
    </r>
    <r>
      <rPr>
        <b/>
        <u/>
        <sz val="11"/>
        <rFont val="Arial"/>
        <family val="2"/>
      </rPr>
      <t>&lt;</t>
    </r>
    <r>
      <rPr>
        <b/>
        <sz val="11"/>
        <rFont val="Arial"/>
        <family val="2"/>
      </rPr>
      <t>1000 copies/mL or criteria based on national guidelines) through assessment of viral load, per national guidelines, and the results are documented in the medical record.</t>
    </r>
  </si>
  <si>
    <t>Are there clients on ART ≥ 6 months among clients currently on ART in the site?</t>
  </si>
  <si>
    <r>
      <t xml:space="preserve">Check </t>
    </r>
    <r>
      <rPr>
        <b/>
        <sz val="11"/>
        <rFont val="Arial"/>
        <family val="2"/>
      </rPr>
      <t>YES</t>
    </r>
    <r>
      <rPr>
        <sz val="11"/>
        <rFont val="Arial"/>
        <family val="2"/>
      </rPr>
      <t xml:space="preserve"> to proceed to next question
If no, Check </t>
    </r>
    <r>
      <rPr>
        <b/>
        <sz val="11"/>
        <rFont val="Arial"/>
        <family val="2"/>
      </rPr>
      <t xml:space="preserve">NA </t>
    </r>
    <r>
      <rPr>
        <sz val="11"/>
        <rFont val="Arial"/>
        <family val="2"/>
      </rPr>
      <t>to skip this standard</t>
    </r>
  </si>
  <si>
    <t>Does this site have access to viral load testing for all individuals who are on ART ? (enter response for each age category)</t>
  </si>
  <si>
    <r>
      <t xml:space="preserve">Review the charts of the last 10 clients attending the site per age category of all individuals living with HIV on ART ≥12 months.
</t>
    </r>
    <r>
      <rPr>
        <sz val="11"/>
        <rFont val="Arial"/>
        <family val="2"/>
      </rPr>
      <t>What percentage of charts reviewed, from all individuals living with HIV on ART ≥12 months, show that the most recent viral load test was ordered within the appropriate interval, per the national guidelines? (</t>
    </r>
    <r>
      <rPr>
        <b/>
        <i/>
        <sz val="11"/>
        <rFont val="Arial"/>
        <family val="2"/>
      </rPr>
      <t>Enter Denominator and Numerator in column D, E and F for each age category</t>
    </r>
    <r>
      <rPr>
        <sz val="11"/>
        <rFont val="Arial"/>
        <family val="2"/>
      </rPr>
      <t>)</t>
    </r>
    <r>
      <rPr>
        <i/>
        <sz val="11"/>
        <rFont val="Arial"/>
        <family val="2"/>
      </rPr>
      <t xml:space="preserve">
(Note: Modify chart review to fit the national guidelines. Countries may opt to exclude charts if viral load was collected within the last 4 weeks to allow adequate time for results to be returned; replace any excluded charts to review a total of ten. Viral load monitoring is expected to occur on an ongoing basis (e.g., every 3, 6, or 12 months per national guidelines).</t>
    </r>
  </si>
  <si>
    <r>
      <rPr>
        <b/>
        <i/>
        <sz val="11"/>
        <rFont val="Arial"/>
        <family val="2"/>
      </rPr>
      <t>Denominator</t>
    </r>
    <r>
      <rPr>
        <sz val="11"/>
        <rFont val="Arial"/>
        <family val="2"/>
      </rPr>
      <t xml:space="preserve"> (# of charts reviewed from all individuals living with HIV on ART ≥12 months)</t>
    </r>
  </si>
  <si>
    <r>
      <rPr>
        <b/>
        <i/>
        <sz val="11"/>
        <rFont val="Arial"/>
        <family val="2"/>
      </rPr>
      <t>Numerator</t>
    </r>
    <r>
      <rPr>
        <sz val="11"/>
        <rFont val="Arial"/>
        <family val="2"/>
      </rPr>
      <t xml:space="preserve"> (# of charts reviewed, from all individuals living with HIV on ART ≥12 months, showing that the most recent viral load test was ordered within the appropriate interval, per the national guidelines)</t>
    </r>
  </si>
  <si>
    <r>
      <t>Review the same 10 charts of clients on ART  ≥12 months (each age category).
What percentage of charts reviewed have a documented return for the most recent viral load test? (</t>
    </r>
    <r>
      <rPr>
        <b/>
        <i/>
        <sz val="11"/>
        <rFont val="Arial"/>
        <family val="2"/>
      </rPr>
      <t>Enter Denominator and Numerator in column D, E and F for each age category</t>
    </r>
    <r>
      <rPr>
        <sz val="11"/>
        <rFont val="Arial"/>
        <family val="2"/>
      </rPr>
      <t>)</t>
    </r>
  </si>
  <si>
    <r>
      <rPr>
        <b/>
        <i/>
        <sz val="11"/>
        <rFont val="Arial"/>
        <family val="2"/>
      </rPr>
      <t>Denominator</t>
    </r>
    <r>
      <rPr>
        <sz val="11"/>
        <rFont val="Arial"/>
        <family val="2"/>
      </rPr>
      <t xml:space="preserve"> (# of charts reviewed from clients on  ART ≥12 months (each age category), with a recent viral load test)</t>
    </r>
  </si>
  <si>
    <r>
      <rPr>
        <b/>
        <i/>
        <sz val="11"/>
        <rFont val="Arial"/>
        <family val="2"/>
      </rPr>
      <t>Numerator</t>
    </r>
    <r>
      <rPr>
        <sz val="11"/>
        <rFont val="Arial"/>
        <family val="2"/>
      </rPr>
      <t xml:space="preserve"> (# of charts reviewed, from clients on ART ≥12 months (each age category), with a documented returned result for the most recent viral load test)</t>
    </r>
  </si>
  <si>
    <t>VLS 1 Domain SCORE</t>
  </si>
  <si>
    <t>VLS 2</t>
  </si>
  <si>
    <t>Standard 15: Clients on antiretroviral therapy (ART) with virologic non-suppression (i.e., VL &gt;1000 copies/mL) are tracked  and receive  enhanced adherence counseling (EAC) and repeat viral load monitoring per national guidelines to assess for virologic failure and the potential need to switch ART regimens.</t>
  </si>
  <si>
    <t>Does this site offer EAC focused counseling sessions for clients with virologic non-suppression (i.e., VL &gt;1000 copies/mL) , typically led by a lay health worker or counselor, on the importance of adhering to the medication? (enter response for each age category)</t>
  </si>
  <si>
    <r>
      <t xml:space="preserve">Does the site have a written procedure, which includes the following features, to manage with non-suppressed viral load results? </t>
    </r>
    <r>
      <rPr>
        <i/>
        <sz val="11"/>
        <rFont val="Arial"/>
        <family val="2"/>
      </rPr>
      <t>(</t>
    </r>
    <r>
      <rPr>
        <b/>
        <i/>
        <sz val="11"/>
        <rFont val="Arial"/>
        <family val="2"/>
      </rPr>
      <t>Select Yes in columns D, E and F for all that apply for each age category</t>
    </r>
    <r>
      <rPr>
        <i/>
        <sz val="11"/>
        <rFont val="Arial"/>
        <family val="2"/>
      </rPr>
      <t>)</t>
    </r>
    <r>
      <rPr>
        <sz val="11"/>
        <rFont val="Arial"/>
        <family val="2"/>
      </rPr>
      <t xml:space="preserve">
</t>
    </r>
    <r>
      <rPr>
        <b/>
        <sz val="11"/>
        <rFont val="Arial"/>
        <family val="2"/>
      </rPr>
      <t>Note:Copying, pasting, or dragging responses is not allowed. Each response must be entered individually for every column and row.</t>
    </r>
  </si>
  <si>
    <t>0-1 ticked = Red
2 ticked = Yellow
3-4 ticked = Green</t>
  </si>
  <si>
    <t>Autogenerated score</t>
  </si>
  <si>
    <t>1) Tracking and urgently following-up with clients who have non- suppressed viral load results</t>
  </si>
  <si>
    <t>2) Providing age-appropriate EAC</t>
  </si>
  <si>
    <t>3) Follow-up viral load testing</t>
  </si>
  <si>
    <t>4) Assessing the need to switch ART regimens in clients with virologic failure after completing EAC</t>
  </si>
  <si>
    <t>Are there clients on ART ≥ 12 months with virologic non-suppression recorded within the last 90 days?</t>
  </si>
  <si>
    <r>
      <t xml:space="preserve">Check </t>
    </r>
    <r>
      <rPr>
        <b/>
        <sz val="11"/>
        <rFont val="Arial"/>
        <family val="2"/>
      </rPr>
      <t>YES</t>
    </r>
    <r>
      <rPr>
        <sz val="11"/>
        <rFont val="Arial"/>
        <family val="2"/>
      </rPr>
      <t xml:space="preserve"> to proceed to next question
If no, Check </t>
    </r>
    <r>
      <rPr>
        <b/>
        <sz val="11"/>
        <rFont val="Arial"/>
        <family val="2"/>
      </rPr>
      <t>NA</t>
    </r>
    <r>
      <rPr>
        <sz val="11"/>
        <rFont val="Arial"/>
        <family val="2"/>
      </rPr>
      <t xml:space="preserve"> to skip the next 2 questions</t>
    </r>
  </si>
  <si>
    <r>
      <rPr>
        <i/>
        <sz val="11"/>
        <rFont val="Arial"/>
        <family val="2"/>
      </rPr>
      <t xml:space="preserve">Review the last 10 records per age category (e.g., charts, high viral load register, EMR entries) of  clients on ART </t>
    </r>
    <r>
      <rPr>
        <sz val="11"/>
        <rFont val="Arial"/>
        <family val="2"/>
      </rPr>
      <t>≥</t>
    </r>
    <r>
      <rPr>
        <i/>
        <sz val="11"/>
        <rFont val="Arial"/>
        <family val="2"/>
      </rPr>
      <t>12 months (all ages) with virologic non-suppression within the last 90 days</t>
    </r>
    <r>
      <rPr>
        <sz val="11"/>
        <rFont val="Arial"/>
        <family val="2"/>
      </rPr>
      <t xml:space="preserve">
What percentage of records of clients received at least 1 EAC session after date of virologic non-suppression?
(</t>
    </r>
    <r>
      <rPr>
        <b/>
        <i/>
        <sz val="11"/>
        <rFont val="Arial"/>
        <family val="2"/>
      </rPr>
      <t>Enter Denominator and Numerator in column D, E and F for each age category</t>
    </r>
    <r>
      <rPr>
        <sz val="11"/>
        <rFont val="Arial"/>
        <family val="2"/>
      </rPr>
      <t>)</t>
    </r>
  </si>
  <si>
    <r>
      <rPr>
        <b/>
        <i/>
        <sz val="11"/>
        <rFont val="Arial"/>
        <family val="2"/>
      </rPr>
      <t>Denominator</t>
    </r>
    <r>
      <rPr>
        <sz val="11"/>
        <rFont val="Arial"/>
        <family val="2"/>
      </rPr>
      <t xml:space="preserve"> (# of records reviewed of individual clients (by age) on ART ≥12 months with virologic non-suppression)</t>
    </r>
  </si>
  <si>
    <r>
      <rPr>
        <b/>
        <i/>
        <sz val="11"/>
        <rFont val="Arial"/>
        <family val="2"/>
      </rPr>
      <t>Numerator</t>
    </r>
    <r>
      <rPr>
        <sz val="11"/>
        <rFont val="Arial"/>
        <family val="2"/>
      </rPr>
      <t xml:space="preserve"> (# of records of clients who received at least 1 EAC session after date of virologic non-suppression)</t>
    </r>
  </si>
  <si>
    <r>
      <rPr>
        <i/>
        <sz val="11"/>
        <rFont val="Arial"/>
        <family val="2"/>
      </rPr>
      <t xml:space="preserve">Review the same 10 records of clients on ART </t>
    </r>
    <r>
      <rPr>
        <sz val="11"/>
        <rFont val="Arial"/>
        <family val="2"/>
      </rPr>
      <t>≥</t>
    </r>
    <r>
      <rPr>
        <i/>
        <sz val="11"/>
        <rFont val="Arial"/>
        <family val="2"/>
      </rPr>
      <t xml:space="preserve">12 months with virologic non-suppression.
</t>
    </r>
    <r>
      <rPr>
        <b/>
        <i/>
        <sz val="11"/>
        <rFont val="Arial"/>
        <family val="2"/>
      </rPr>
      <t xml:space="preserve">
</t>
    </r>
    <r>
      <rPr>
        <sz val="11"/>
        <rFont val="Arial"/>
        <family val="2"/>
      </rPr>
      <t>What percent of the same records reviewed (e.g., charts, high viral load register or EMR entries) have documentation of a follow-up viral load result after the first result of virologic non-suppression (e.g., VL &gt;1000 copies/mL)? (</t>
    </r>
    <r>
      <rPr>
        <b/>
        <i/>
        <sz val="11"/>
        <rFont val="Arial"/>
        <family val="2"/>
      </rPr>
      <t>Enter Denominator and Numerator in column D, E and F for each age category</t>
    </r>
    <r>
      <rPr>
        <sz val="11"/>
        <rFont val="Arial"/>
        <family val="2"/>
      </rPr>
      <t>)</t>
    </r>
  </si>
  <si>
    <r>
      <rPr>
        <b/>
        <i/>
        <sz val="11"/>
        <rFont val="Arial"/>
        <family val="2"/>
      </rPr>
      <t>Denominator</t>
    </r>
    <r>
      <rPr>
        <sz val="11"/>
        <rFont val="Arial"/>
        <family val="2"/>
      </rPr>
      <t xml:space="preserve"> (# of records reviewed of adult and adolescent clients on ART ≥12 months with virologic non-suppression and eligible for follow-up viral load)</t>
    </r>
  </si>
  <si>
    <r>
      <rPr>
        <b/>
        <i/>
        <sz val="11"/>
        <rFont val="Arial"/>
        <family val="2"/>
      </rPr>
      <t>Numerator</t>
    </r>
    <r>
      <rPr>
        <sz val="11"/>
        <rFont val="Arial"/>
        <family val="2"/>
      </rPr>
      <t xml:space="preserve"> (# of records reviewed (e.g., charts, high viral load register or EMR entries) with documentation of a follow-up viral load result after the first result of virologic non-suppression (e.g., VL &gt;1000 copies/mL)</t>
    </r>
  </si>
  <si>
    <t>VLS 2 Domain SCORE</t>
  </si>
  <si>
    <t xml:space="preserve">Continuity in Treatment  </t>
  </si>
  <si>
    <t xml:space="preserve">Standard 16: Each ART site has a standard procedure for identifying and tracking all ART clients who have missed their last clinical review or ARV refill. The system includes procedures for client identification and tracking; standardized documentation showing evidence of more than one attempt to bring the client back into care; and the results/outcome of re-engagement efforts. </t>
  </si>
  <si>
    <t>Are there standard procedures for identifying and tracking all  ART clients (per age category) who have missed a clinical review or ARV refill ? (enter response for each age category)</t>
  </si>
  <si>
    <r>
      <t>Review tracking documentation (logbooks, registers, client files etc.) for the last 10 ART clients per age category who either missed their last clinical review or ARV refill. 
What percent of tracking documents reviewed, from ART clients who missed their most recent clinical review appointment or refill, have the result of tracking efforts (e.g., transferred out, new appointment, not found, refusal, death) documented?
(</t>
    </r>
    <r>
      <rPr>
        <b/>
        <i/>
        <sz val="11"/>
        <rFont val="Arial"/>
        <family val="2"/>
      </rPr>
      <t>Enter Denominator and Numerator in column D, E and F for each age category</t>
    </r>
    <r>
      <rPr>
        <i/>
        <sz val="11"/>
        <rFont val="Arial"/>
        <family val="2"/>
      </rPr>
      <t>)</t>
    </r>
  </si>
  <si>
    <r>
      <rPr>
        <b/>
        <i/>
        <sz val="11"/>
        <rFont val="Arial"/>
        <family val="2"/>
      </rPr>
      <t>Denominator</t>
    </r>
    <r>
      <rPr>
        <sz val="11"/>
        <rFont val="Arial"/>
        <family val="2"/>
      </rPr>
      <t xml:space="preserve"> (# of ART client tracking documents reviewed for clients who either missed their last clinical review or ARV refill)</t>
    </r>
  </si>
  <si>
    <r>
      <rPr>
        <b/>
        <i/>
        <sz val="11"/>
        <rFont val="Arial"/>
        <family val="2"/>
      </rPr>
      <t>Numerator</t>
    </r>
    <r>
      <rPr>
        <sz val="11"/>
        <rFont val="Arial"/>
        <family val="2"/>
      </rPr>
      <t xml:space="preserve"> (# of ART tracking documents reviewed, for ART clients who missed their most recent clinical review appointment or ARV refill, that have the result of tracking efforts (e.g., transferred out, new appointment, not found, refusal, death documented)</t>
    </r>
  </si>
  <si>
    <t>Continuity in Treatment Domain SCORE</t>
  </si>
  <si>
    <t>DSD 1</t>
  </si>
  <si>
    <t>Standard 17: Each site offers differentiated service delivery (DSD) models for adolescent and adult clients ≥15 years old (e.g., multi-month drug dispensing, community dispensation) to meet the needs of ART clients.</t>
  </si>
  <si>
    <t>Are differentiated models of service delivery (e.g., , multi-month dispensing) currently allowed in national guidelines?</t>
  </si>
  <si>
    <t>Does the site utilize specific eligibility criteria for provision of DSD for all individuals and ages? (enter response for each age category)</t>
  </si>
  <si>
    <r>
      <t xml:space="preserve">Yes = Green
No = </t>
    </r>
    <r>
      <rPr>
        <b/>
        <sz val="11"/>
        <color theme="1"/>
        <rFont val="Arial"/>
        <family val="2"/>
      </rPr>
      <t xml:space="preserve">Red </t>
    </r>
  </si>
  <si>
    <r>
      <t xml:space="preserve">Does the site use or provide the following services for all clients?
</t>
    </r>
    <r>
      <rPr>
        <i/>
        <sz val="11"/>
        <rFont val="Arial"/>
        <family val="2"/>
      </rPr>
      <t>(</t>
    </r>
    <r>
      <rPr>
        <b/>
        <i/>
        <sz val="11"/>
        <rFont val="Arial"/>
        <family val="2"/>
      </rPr>
      <t>Select Yes in columns D, E and F for all that apply for each age category</t>
    </r>
    <r>
      <rPr>
        <i/>
        <sz val="11"/>
        <rFont val="Arial"/>
        <family val="2"/>
      </rPr>
      <t>)</t>
    </r>
  </si>
  <si>
    <t>0-2 ticked = Red
3-5 ticked = Yellow
6-8 ticked = Green</t>
  </si>
  <si>
    <t>1) 3-5 month ARV dispensing  for eligible clients receiving ARV refills</t>
  </si>
  <si>
    <t>2) 3-5 month ARV dispensing for eligible clients initiating ART</t>
  </si>
  <si>
    <t>3) 6+ month supply of ARV dispensing for eligible clients receiving ARV refills</t>
  </si>
  <si>
    <t>4) 6+ month supply of ARV dispensing for eligible clients initiating ART</t>
  </si>
  <si>
    <t>5) Fast-track pharmacy pick-up of ARVs for all eligible ART clients</t>
  </si>
  <si>
    <t>6) Community service delivery models (e.g., community ART groups, family care, or distribution points like home distribution)</t>
  </si>
  <si>
    <t>7) DSD appointment spacing aligned with frequency of viral load monitoring</t>
  </si>
  <si>
    <t>8) MMD of  ARV in conjunction with services for TB prevention, TB treatment, family planning, and/or NCDs (diabetes, hypertension)</t>
  </si>
  <si>
    <t>DSD 1 Domain SCORE</t>
  </si>
  <si>
    <t>7 (lowest) - 21 (highest) : 7-11 Red; 12-16 Yellow; 17-21 Green</t>
  </si>
  <si>
    <t>DSD 2</t>
  </si>
  <si>
    <t>Standard 18: All adult recipients of care should be regularly assessed for differentiated ART program service eligibility and offered the choice to opt into a less-intensive model,  if eligible</t>
  </si>
  <si>
    <t>Does the facility have written SOPs to guide assessment of eligibility for all of the DSD models currently being provided?</t>
  </si>
  <si>
    <r>
      <t>Chart review of 10 randomly selected files of adults who have been on ART for &gt; 12 months. 
What Proportion of adolescents and adults on ART are correctly classified as eligible or ineligible for less-intensive models?
 (</t>
    </r>
    <r>
      <rPr>
        <b/>
        <i/>
        <sz val="11"/>
        <rFont val="Arial"/>
        <family val="2"/>
      </rPr>
      <t>Enter Denominator and Numerator in column F</t>
    </r>
    <r>
      <rPr>
        <sz val="11"/>
        <rFont val="Arial"/>
        <family val="2"/>
      </rPr>
      <t>)</t>
    </r>
  </si>
  <si>
    <r>
      <rPr>
        <b/>
        <i/>
        <sz val="11"/>
        <rFont val="Arial"/>
        <family val="2"/>
      </rPr>
      <t>Denominator</t>
    </r>
    <r>
      <rPr>
        <sz val="11"/>
        <rFont val="Arial"/>
        <family val="2"/>
      </rPr>
      <t xml:space="preserve"> (# of charts reviewed)</t>
    </r>
  </si>
  <si>
    <r>
      <rPr>
        <b/>
        <i/>
        <sz val="11"/>
        <rFont val="Arial"/>
        <family val="2"/>
      </rPr>
      <t>Numerator</t>
    </r>
    <r>
      <rPr>
        <sz val="11"/>
        <rFont val="Arial"/>
        <family val="2"/>
      </rPr>
      <t xml:space="preserve"> (# of people whose DART eligibility is documented and consistent with national guidelines)</t>
    </r>
  </si>
  <si>
    <r>
      <t>Review the health facility records
What Proportion of adults on ART are currently enrolled in less-intensive DSD models ? (</t>
    </r>
    <r>
      <rPr>
        <b/>
        <i/>
        <sz val="11"/>
        <rFont val="Arial"/>
        <family val="2"/>
      </rPr>
      <t>Enter Denominator and Numerator in column F</t>
    </r>
    <r>
      <rPr>
        <sz val="11"/>
        <rFont val="Arial"/>
        <family val="2"/>
      </rPr>
      <t>)</t>
    </r>
  </si>
  <si>
    <r>
      <rPr>
        <b/>
        <i/>
        <sz val="11"/>
        <rFont val="Arial"/>
        <family val="2"/>
      </rPr>
      <t>Denominator</t>
    </r>
    <r>
      <rPr>
        <sz val="11"/>
        <rFont val="Arial"/>
        <family val="2"/>
      </rPr>
      <t xml:space="preserve"> (# of adults currently on ART)</t>
    </r>
  </si>
  <si>
    <r>
      <rPr>
        <b/>
        <i/>
        <sz val="11"/>
        <rFont val="Arial"/>
        <family val="2"/>
      </rPr>
      <t>Numerator</t>
    </r>
    <r>
      <rPr>
        <sz val="11"/>
        <rFont val="Arial"/>
        <family val="2"/>
      </rPr>
      <t xml:space="preserve"> (# of adults currently in a less-intensive DSD or differentiated ART model)</t>
    </r>
  </si>
  <si>
    <t>DSD 2 Domain SCORE</t>
  </si>
  <si>
    <t>3 (lowest) - 9 (highest) : 3-4 Red; 5-7 Yellow; 8-9 Green</t>
  </si>
  <si>
    <t>AHD</t>
  </si>
  <si>
    <t xml:space="preserve">Standard 19: All people at risk of Advanced HIV Disease (newly diagnosed initiating ART, presenting with an illness requiring admission, children under five diagnosed with HIV, viremic, and returning to treatment) should be promptly* assessed for AHD using a CD4 cell count test in addition to a comprehensive review of the clinical history and physical examination </t>
  </si>
  <si>
    <t>Does this health facility have a written SOP that includes guidance that PLHIV at-risk should be assessed for AHD, clearly defined criteria for AHD diagnosis (including elements from history and physical examination), and the timeframe for AHD assessment? (enter response for each age category)</t>
  </si>
  <si>
    <r>
      <t>What is the Proportion of PLHIV at risk of AHD (newly diagnosed initiating ART, presenting with an illness requiring admission,CLHIV &lt;5 years, viremic, and returning to treatment) presenting at this health facility assessed for advanced HIVdisease with CD4 Count in the last 12 months prior to assessment ?  
(</t>
    </r>
    <r>
      <rPr>
        <b/>
        <i/>
        <sz val="11"/>
        <rFont val="Arial"/>
        <family val="2"/>
      </rPr>
      <t>Enter Denominator and Numerator in column D, E and F for each age category</t>
    </r>
    <r>
      <rPr>
        <sz val="11"/>
        <rFont val="Arial"/>
        <family val="2"/>
      </rPr>
      <t>)</t>
    </r>
  </si>
  <si>
    <r>
      <rPr>
        <b/>
        <i/>
        <sz val="11"/>
        <rFont val="Arial"/>
        <family val="2"/>
      </rPr>
      <t>Denominator</t>
    </r>
    <r>
      <rPr>
        <sz val="11"/>
        <rFont val="Arial"/>
        <family val="2"/>
      </rPr>
      <t xml:space="preserve"> (Number of PLHIV at risk of AHD in the last 12 months prior to assessment)</t>
    </r>
  </si>
  <si>
    <r>
      <rPr>
        <b/>
        <i/>
        <sz val="11"/>
        <rFont val="Arial"/>
        <family val="2"/>
      </rPr>
      <t>Numerator</t>
    </r>
    <r>
      <rPr>
        <sz val="11"/>
        <rFont val="Arial"/>
        <family val="2"/>
      </rPr>
      <t xml:space="preserve"> (Number of PLHIV at risk of AHD assessed for advanced HIV disease using CD4 cell count in the last 12 months prior to assessment)</t>
    </r>
  </si>
  <si>
    <t>AHD Domain SCORE</t>
  </si>
  <si>
    <t>VTE EID 1</t>
  </si>
  <si>
    <t>Standard 20: All HIV-exposed infants (HEIs) have a specimen collected for early infant diagnosis (EID).
There is documented return of HIV results to caregivers within one month of sample collection.</t>
  </si>
  <si>
    <t xml:space="preserve">Instructions: If NO HIV-exposed infants were seen in the previous year: 
</t>
  </si>
  <si>
    <t xml:space="preserve">Is Conventional laboratory-based testing and /or point of care testing available for infants at this site? </t>
  </si>
  <si>
    <t>Review 10 records (register entries, charts, or HEI cards) of the 10 most recent HEIs (i.e. born 3 or more months prior to the SQA and up to the last 12 months prior to today’s SQA). What percent of HIV-exposed infants had a specimen collected for EID?</t>
  </si>
  <si>
    <t>Children
(0-2)</t>
  </si>
  <si>
    <r>
      <rPr>
        <b/>
        <sz val="11"/>
        <rFont val="Arial"/>
        <family val="2"/>
      </rPr>
      <t>Denominato</t>
    </r>
    <r>
      <rPr>
        <sz val="11"/>
        <rFont val="Arial"/>
        <family val="2"/>
      </rPr>
      <t>r ___#Total number of most recent HEI records (i.e. born 3 or more months prior to the SQA  and up to the last 12 months prior to today’s SQA).</t>
    </r>
  </si>
  <si>
    <r>
      <rPr>
        <b/>
        <sz val="11"/>
        <rFont val="Arial"/>
        <family val="2"/>
      </rPr>
      <t>Numerator ____</t>
    </r>
    <r>
      <rPr>
        <sz val="11"/>
        <rFont val="Arial"/>
        <family val="2"/>
      </rPr>
      <t xml:space="preserve"> # of HIV-exposed infants with documented specimen collection for initial EID testing and required follow-up virologic testing according to national guidelines</t>
    </r>
  </si>
  <si>
    <t>Children (0-2)</t>
  </si>
  <si>
    <t xml:space="preserve">Review the same 10 records (register entries, charts, or HEI cards) of the 10 most recent HEIs (i.e. born 3 or more months prior to the SQA and up to the last 12 months prior to today’s service quality assessment). Look at the EID sample collected at the site. What percent of HIV-exposed infants have documentation of a HIV-test result provided to a caregiver within one month of sample collection? </t>
  </si>
  <si>
    <r>
      <rPr>
        <b/>
        <sz val="11"/>
        <rFont val="Arial"/>
        <family val="2"/>
      </rPr>
      <t>Denominator =</t>
    </r>
    <r>
      <rPr>
        <sz val="11"/>
        <rFont val="Arial"/>
        <family val="2"/>
      </rPr>
      <t xml:space="preserve"> _____# of most recent HEI records (i.e. born 3 or more months prior to this SQA and up to the last 12 months prior to today’s SQA)</t>
    </r>
  </si>
  <si>
    <r>
      <rPr>
        <b/>
        <sz val="11"/>
        <rFont val="Arial"/>
        <family val="2"/>
      </rPr>
      <t>Numerator= _</t>
    </r>
    <r>
      <rPr>
        <sz val="11"/>
        <rFont val="Arial"/>
        <family val="2"/>
      </rPr>
      <t>____# of HEI records with documentation that the caregiver has received the results of an HIV-test within one month of sample collection</t>
    </r>
  </si>
  <si>
    <t>EID  Domain SCORE</t>
  </si>
  <si>
    <t>3 (lowest) - 9 (highest) : 3-4 Red; 5-6 Yellow; 7-9 Green</t>
  </si>
  <si>
    <t>VTE EID 2</t>
  </si>
  <si>
    <t>Standard 21: All HIV-exposed infants (HEIs) initiate cotrimoxazole (CTX) by eight weeks of age</t>
  </si>
  <si>
    <t xml:space="preserve">Instructions: If NO HIV-exposed infants were seen in the previous year:
 </t>
  </si>
  <si>
    <r>
      <rPr>
        <sz val="11"/>
        <rFont val="Arial"/>
        <family val="2"/>
      </rPr>
      <t xml:space="preserve">Review 10 records (register entries, charts, or HEI cards) of the most recent HEIs of the most recentHEI (i.e. born 3 or more months prior to the SQA  and up to the last 12 months prior to today’s SQA).
What percent of HIV-exposed infants havedocumented receipt of CTX by 8 weeks of age?
</t>
    </r>
    <r>
      <rPr>
        <i/>
        <sz val="11"/>
        <rFont val="Arial"/>
        <family val="2"/>
      </rPr>
      <t>.</t>
    </r>
    <r>
      <rPr>
        <b/>
        <i/>
        <sz val="11"/>
        <rFont val="Arial"/>
        <family val="2"/>
      </rPr>
      <t>Enter Denominator and Numerator in column D, E and F for each age category</t>
    </r>
    <r>
      <rPr>
        <i/>
        <sz val="11"/>
        <rFont val="Arial"/>
        <family val="2"/>
      </rPr>
      <t>)</t>
    </r>
  </si>
  <si>
    <r>
      <t xml:space="preserve"> </t>
    </r>
    <r>
      <rPr>
        <b/>
        <sz val="11"/>
        <rFont val="Arial"/>
        <family val="2"/>
      </rPr>
      <t xml:space="preserve"> Denominator___ </t>
    </r>
    <r>
      <rPr>
        <sz val="11"/>
        <rFont val="Arial"/>
        <family val="2"/>
      </rPr>
      <t xml:space="preserve"> #Total number of records of the most recent HEI (i.e. born 3 or more months prior to the SQA and up to the last 12 months prior to today’s SQA)</t>
    </r>
  </si>
  <si>
    <r>
      <rPr>
        <b/>
        <sz val="11"/>
        <rFont val="Arial"/>
        <family val="2"/>
      </rPr>
      <t>Numerator ____</t>
    </r>
    <r>
      <rPr>
        <sz val="11"/>
        <rFont val="Arial"/>
        <family val="2"/>
      </rPr>
      <t xml:space="preserve">  # of HEI initiated on CTX by 8 weeks of age</t>
    </r>
  </si>
  <si>
    <t>EID Domain SCORE</t>
  </si>
  <si>
    <t>1 (lowest) - 3 (highest) : 1 Red; 2 Yellow; 3 Green</t>
  </si>
  <si>
    <t>VTE EID 3</t>
  </si>
  <si>
    <t>Standard 22:  All HIV-exposed infants (HEIs) are tracked through the end of breastfeeding and have a documented final HIV outcome by 24 months of age</t>
  </si>
  <si>
    <t xml:space="preserve">Instructions: If NO HIV-exposed infants were seen in the previous year:
</t>
  </si>
  <si>
    <r>
      <t xml:space="preserve">Is there a system in place for tracking HIV-exposed infants through the end of breastfeeding and documenting their final HIV status? </t>
    </r>
    <r>
      <rPr>
        <i/>
        <sz val="11"/>
        <rFont val="Arial"/>
        <family val="2"/>
      </rPr>
      <t>Documented final HIV outcome is defined as an infant diagnosed HIV-positive at any point; diagnosed HIV-negative after &gt;3 months following cessation of breastfeeding; with unknown status (e.g., LTFU, transferred out, or still breastfeeding/exposed); or who has died.</t>
    </r>
  </si>
  <si>
    <t>Review 10 records (register entries, charts, or HEI cards) of the most recent HEIs (i.e. born &gt;24 but less than 36 months prior to the SQA). What percent of HIV-exposed infants have documentation of final HIV status?</t>
  </si>
  <si>
    <r>
      <rPr>
        <b/>
        <sz val="11"/>
        <rFont val="Arial"/>
        <family val="2"/>
      </rPr>
      <t>Denominato</t>
    </r>
    <r>
      <rPr>
        <sz val="11"/>
        <rFont val="Arial"/>
        <family val="2"/>
      </rPr>
      <t>r ___Total number of records reviewed of most recent HEIs (i.e. born &gt;24 but les  than 36 months prior to the SQAt).</t>
    </r>
  </si>
  <si>
    <r>
      <rPr>
        <b/>
        <sz val="11"/>
        <rFont val="Arial"/>
        <family val="2"/>
      </rPr>
      <t>Numerator</t>
    </r>
    <r>
      <rPr>
        <sz val="11"/>
        <rFont val="Arial"/>
        <family val="2"/>
      </rPr>
      <t xml:space="preserve"> ____ # of most HEIs (i.e. born &gt;24 but less than 36 months prior to the SQA) with documented final HIV status</t>
    </r>
  </si>
  <si>
    <t>2 (lowest) - 6 (highest) : 2-3 Red; 4 Yellow; 5-6 Green</t>
  </si>
  <si>
    <t>Supply 1</t>
  </si>
  <si>
    <t>Standard 23: Each site has an inventory management protocol for antiretrovirals (ARVs), cotrimoxazole (CTX), isoniazid preventive therapy (IPT)/other TB preventive regimens, and HIV rapid test kits (RTKs), and submits routine and accurate  orders  to  maintain  adequate  stock  (between  established  minimum/maximum  stock levels).</t>
  </si>
  <si>
    <r>
      <rPr>
        <b/>
        <sz val="11"/>
        <rFont val="Arial"/>
        <family val="2"/>
      </rPr>
      <t>Instructions:</t>
    </r>
    <r>
      <rPr>
        <sz val="11"/>
        <rFont val="Arial"/>
        <family val="2"/>
      </rPr>
      <t xml:space="preserve">  Assess this standard at the central pharmacy to ensure that each service delivery area within a facility has an adequate supply.  With remote assessment, ensure that any video does not show clients.</t>
    </r>
  </si>
  <si>
    <t>Select Yes or NA</t>
  </si>
  <si>
    <t>Does this site provide ARVs, CTX, IPT/TB preventive therapy or RTKs for all clients?</t>
  </si>
  <si>
    <r>
      <t xml:space="preserve">Check </t>
    </r>
    <r>
      <rPr>
        <b/>
        <sz val="11"/>
        <rFont val="Arial"/>
        <family val="2"/>
      </rPr>
      <t>YES</t>
    </r>
    <r>
      <rPr>
        <sz val="11"/>
        <rFont val="Arial"/>
        <family val="2"/>
      </rPr>
      <t xml:space="preserve"> to proceed to next question
If no, Check </t>
    </r>
    <r>
      <rPr>
        <b/>
        <sz val="11"/>
        <rFont val="Arial"/>
        <family val="2"/>
      </rPr>
      <t>NA</t>
    </r>
    <r>
      <rPr>
        <sz val="11"/>
        <rFont val="Arial"/>
        <family val="2"/>
      </rPr>
      <t xml:space="preserve"> to skip Supply standards</t>
    </r>
  </si>
  <si>
    <r>
      <t>Does the site use or do all of the following?  (</t>
    </r>
    <r>
      <rPr>
        <b/>
        <i/>
        <sz val="11"/>
        <rFont val="Arial"/>
        <family val="2"/>
      </rPr>
      <t>Select "Yes" in column H for all that apply</t>
    </r>
    <r>
      <rPr>
        <sz val="11"/>
        <rFont val="Arial"/>
        <family val="2"/>
      </rPr>
      <t xml:space="preserve">).
</t>
    </r>
    <r>
      <rPr>
        <b/>
        <i/>
        <sz val="11"/>
        <rFont val="Arial"/>
        <family val="2"/>
      </rPr>
      <t>Note</t>
    </r>
    <r>
      <rPr>
        <i/>
        <sz val="11"/>
        <rFont val="Arial"/>
        <family val="2"/>
      </rPr>
      <t>: Ask to see the order form and cross check for each applicable product.</t>
    </r>
  </si>
  <si>
    <t>0-1 selected = Red
2 selected = Yellow
3 selected = Green</t>
  </si>
  <si>
    <t>1) The site use inventory management tools (e.g., stock cards) to keep stock records</t>
  </si>
  <si>
    <t>2) Stock cards are updated on a transactional basis (i.e., whenever stock is sent from the storage site to another site within the facility)</t>
  </si>
  <si>
    <t>3) The site submitted a timely order for the commodities mentioned above (as defined by the in-country re-supply schedule or during the past 3 months)</t>
  </si>
  <si>
    <t>Does the pharmacy have written standard procedures for ordering off- schedule/emergency supplies?</t>
  </si>
  <si>
    <r>
      <t xml:space="preserve">Yes=Green
No = </t>
    </r>
    <r>
      <rPr>
        <b/>
        <sz val="11"/>
        <color theme="1"/>
        <rFont val="Arial"/>
        <family val="2"/>
      </rPr>
      <t>Yellow</t>
    </r>
  </si>
  <si>
    <t>Does this site have standard written medication dispensing protocol and maintains complete and
updated medication dispensing records or registers.</t>
  </si>
  <si>
    <t>Supply 1 Domain SCORE</t>
  </si>
  <si>
    <t>5 (lowest) - 9 (highest) : 5-6 Red; 7 Yellow; 8-9 Green</t>
  </si>
  <si>
    <t>Supply 2</t>
  </si>
  <si>
    <t xml:space="preserve">Standard 24: This health facility has a reliable supply of HIV and TB related medications and HIV testing supplies </t>
  </si>
  <si>
    <r>
      <t>Does the site have a reliable supply of the following supplies to serve the community over the next months?
(</t>
    </r>
    <r>
      <rPr>
        <b/>
        <i/>
        <sz val="11"/>
        <rFont val="Arial"/>
        <family val="2"/>
      </rPr>
      <t>Select "Yes" in column H for all that apply</t>
    </r>
    <r>
      <rPr>
        <sz val="11"/>
        <rFont val="Arial"/>
        <family val="2"/>
      </rPr>
      <t xml:space="preserve">):
</t>
    </r>
    <r>
      <rPr>
        <b/>
        <i/>
        <sz val="11"/>
        <rFont val="Arial"/>
        <family val="2"/>
      </rPr>
      <t>Note</t>
    </r>
    <r>
      <rPr>
        <i/>
        <sz val="11"/>
        <rFont val="Arial"/>
        <family val="2"/>
      </rPr>
      <t>: Ask to see the order form and cross-check for each applicable product.</t>
    </r>
  </si>
  <si>
    <t>0-1 selected = Red
2-3 selected = Yellow
4-6 selected = Green</t>
  </si>
  <si>
    <t>1) ARVs - First and Second Line therapies for Children and Adults</t>
  </si>
  <si>
    <t>2) PrEP</t>
  </si>
  <si>
    <t>3) TB preventative therapy (TPT)</t>
  </si>
  <si>
    <t>4) Co-Trimoxizole</t>
  </si>
  <si>
    <t>5) Rapid Test Kits</t>
  </si>
  <si>
    <t>6) Personal Protective Equipment (e.g., gloves and masks)</t>
  </si>
  <si>
    <t xml:space="preserve">Has a stock-out of ARVs in the past 3 months resulted in an interruption of 1st or 2nd line ART (or a delay in ART initiation) for any clients at this site (all age categories) </t>
  </si>
  <si>
    <r>
      <t xml:space="preserve">Yes = </t>
    </r>
    <r>
      <rPr>
        <b/>
        <sz val="11"/>
        <color theme="1"/>
        <rFont val="Arial"/>
        <family val="2"/>
      </rPr>
      <t xml:space="preserve">Red
</t>
    </r>
    <r>
      <rPr>
        <sz val="11"/>
        <color theme="1"/>
        <rFont val="Arial"/>
        <family val="2"/>
      </rPr>
      <t xml:space="preserve">No = </t>
    </r>
    <r>
      <rPr>
        <b/>
        <sz val="11"/>
        <color theme="1"/>
        <rFont val="Arial"/>
        <family val="2"/>
      </rPr>
      <t xml:space="preserve">Green </t>
    </r>
  </si>
  <si>
    <t xml:space="preserve">Has a stock-out of CTX in the past 3 months resulted in a delay in initiation or  interruption of treatement for any clients at this site (all age categories) </t>
  </si>
  <si>
    <t xml:space="preserve">Has a stock-out of TPT in the past 3 months resulted in a delay in initiation or  interruption of treatement for any clients at this site (all age categories) </t>
  </si>
  <si>
    <t xml:space="preserve">Has a stock-out of RTKs in the past 3 months resulted in a delay in initiation or  interruption of treatement for any clients at this site (all age categories) </t>
  </si>
  <si>
    <t>Supply 2 Domain SCORE</t>
  </si>
  <si>
    <t>5 (lowest) - 15 (highest) : 5-6 Red; 7-9 Yellow; 10-12 Green</t>
  </si>
  <si>
    <t>TABLES FOR GRAPHS</t>
  </si>
  <si>
    <t>Standards</t>
  </si>
  <si>
    <t>Scores</t>
  </si>
  <si>
    <t>Needs Urgent Remediation</t>
  </si>
  <si>
    <t>Needs Improvement</t>
  </si>
  <si>
    <t>Meets Standard</t>
  </si>
  <si>
    <t>Std 1</t>
  </si>
  <si>
    <t>Std 2</t>
  </si>
  <si>
    <t>Std 3</t>
  </si>
  <si>
    <t>Std 4</t>
  </si>
  <si>
    <t>Testing 1</t>
  </si>
  <si>
    <t>Std 5</t>
  </si>
  <si>
    <t>Testing 2</t>
  </si>
  <si>
    <t>Std 6</t>
  </si>
  <si>
    <t>Std 7</t>
  </si>
  <si>
    <t>Testing Linkage</t>
  </si>
  <si>
    <t>Std 8</t>
  </si>
  <si>
    <t>Std 9</t>
  </si>
  <si>
    <t>Std 10</t>
  </si>
  <si>
    <t>Std 11</t>
  </si>
  <si>
    <t>Std 12</t>
  </si>
  <si>
    <t>Std 13</t>
  </si>
  <si>
    <t>Std 14</t>
  </si>
  <si>
    <t>Std 15</t>
  </si>
  <si>
    <t>Std 16</t>
  </si>
  <si>
    <t>Std 17</t>
  </si>
  <si>
    <t>Std 18</t>
  </si>
  <si>
    <t>Std 19</t>
  </si>
  <si>
    <t>Std 20</t>
  </si>
  <si>
    <t>Std 21</t>
  </si>
  <si>
    <t>Std 22</t>
  </si>
  <si>
    <t>Std 23</t>
  </si>
  <si>
    <t>Std 24</t>
  </si>
  <si>
    <t>RAPID HSQA RESULTS SUMMARY</t>
  </si>
  <si>
    <t>Summary of Standards</t>
  </si>
  <si>
    <t>Nb</t>
  </si>
  <si>
    <t>%</t>
  </si>
  <si>
    <t>Number of Standards in the Rapid HSQA questionnaire:</t>
  </si>
  <si>
    <t>Number of Standards not assessed (Not Applicable)</t>
  </si>
  <si>
    <t>Number of Standards assessed:</t>
  </si>
  <si>
    <t>Number of Standards scored Green</t>
  </si>
  <si>
    <t>Number of Standards scored Yellow</t>
  </si>
  <si>
    <t>Number of Standards scored Red</t>
  </si>
  <si>
    <t>Summary of scoring questions items</t>
  </si>
  <si>
    <t>Number of scoring questions items in the Rapid HSQA questionnaire:</t>
  </si>
  <si>
    <t>Number of scoring questions responded:</t>
  </si>
  <si>
    <t>Number of scoring questions scored Green</t>
  </si>
  <si>
    <t>Number of scoring questions scored Yellow</t>
  </si>
  <si>
    <t>Number of scoring questions scored Red</t>
  </si>
  <si>
    <t>Site overall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</si>
</sst>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5">
    <font>
      <sz val="12"/>
      <color theme="1"/>
      <name val="Aptos Narrow"/>
      <family val="2"/>
      <scheme val="minor"/>
    </font>
    <font>
      <sz val="12"/>
      <color theme="1"/>
      <name val="Aptos Narrow"/>
      <family val="2"/>
      <scheme val="minor"/>
    </font>
    <font>
      <b/>
      <sz val="11"/>
      <color theme="1"/>
      <name val="Arial"/>
      <family val="2"/>
    </font>
    <font>
      <sz val="11"/>
      <color theme="1"/>
      <name val="Arial"/>
      <family val="2"/>
    </font>
    <font>
      <sz val="10"/>
      <color rgb="FF000000"/>
      <name val="Times New Roman"/>
      <family val="1"/>
    </font>
    <font>
      <b/>
      <sz val="9"/>
      <name val="Arial"/>
      <family val="2"/>
    </font>
    <font>
      <b/>
      <sz val="11"/>
      <name val="Arial"/>
      <family val="2"/>
    </font>
    <font>
      <sz val="9"/>
      <name val="Arial"/>
      <family val="2"/>
    </font>
    <font>
      <sz val="11"/>
      <name val="Arial"/>
      <family val="2"/>
    </font>
    <font>
      <b/>
      <sz val="10"/>
      <color theme="1"/>
      <name val="Arial Unicode MS"/>
      <family val="2"/>
    </font>
    <font>
      <i/>
      <sz val="11"/>
      <name val="Arial"/>
      <family val="2"/>
    </font>
    <font>
      <sz val="11"/>
      <color rgb="FF000000"/>
      <name val="Arial"/>
      <family val="2"/>
    </font>
    <font>
      <sz val="11"/>
      <color rgb="FFFF0000"/>
      <name val="Arial"/>
      <family val="2"/>
    </font>
    <font>
      <b/>
      <sz val="11"/>
      <color rgb="FF000000"/>
      <name val="Arial"/>
      <family val="2"/>
    </font>
    <font>
      <b/>
      <i/>
      <sz val="11"/>
      <name val="Arial"/>
      <family val="2"/>
    </font>
    <font>
      <i/>
      <sz val="11"/>
      <color theme="1"/>
      <name val="Arial"/>
      <family val="2"/>
    </font>
    <font>
      <sz val="8"/>
      <name val="Aptos Narrow"/>
      <family val="2"/>
      <scheme val="minor"/>
    </font>
    <font>
      <b/>
      <u/>
      <sz val="11"/>
      <name val="Arial"/>
      <family val="2"/>
    </font>
    <font>
      <b/>
      <i/>
      <sz val="11"/>
      <color theme="1"/>
      <name val="Arial"/>
      <family val="2"/>
    </font>
    <font>
      <b/>
      <sz val="12"/>
      <color theme="1"/>
      <name val="Aptos Narrow"/>
      <family val="2"/>
      <scheme val="minor"/>
    </font>
    <font>
      <sz val="11"/>
      <color theme="0"/>
      <name val="Arial"/>
      <family val="2"/>
    </font>
    <font>
      <sz val="12"/>
      <color theme="0"/>
      <name val="Aptos Narrow"/>
      <family val="2"/>
      <scheme val="minor"/>
    </font>
    <font>
      <b/>
      <sz val="11"/>
      <color rgb="FFFF0000"/>
      <name val="Arial"/>
      <family val="2"/>
    </font>
    <font>
      <sz val="11"/>
      <color rgb="FF000000"/>
      <name val="Arial"/>
    </font>
    <font>
      <b/>
      <i/>
      <sz val="11"/>
      <color rgb="FF000000"/>
      <name val="Arial"/>
    </font>
  </fonts>
  <fills count="25">
    <fill>
      <patternFill patternType="none"/>
    </fill>
    <fill>
      <patternFill patternType="gray125"/>
    </fill>
    <fill>
      <patternFill patternType="solid">
        <fgColor theme="3" tint="0.749992370372631"/>
        <bgColor indexed="64"/>
      </patternFill>
    </fill>
    <fill>
      <patternFill patternType="solid">
        <fgColor theme="2"/>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7"/>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D03B"/>
        <bgColor indexed="64"/>
      </patternFill>
    </fill>
    <fill>
      <patternFill patternType="solid">
        <fgColor theme="5" tint="0.59999389629810485"/>
        <bgColor indexed="64"/>
      </patternFill>
    </fill>
    <fill>
      <patternFill patternType="solid">
        <fgColor rgb="FFED905D"/>
        <bgColor indexed="64"/>
      </patternFill>
    </fill>
    <fill>
      <patternFill patternType="solid">
        <fgColor rgb="FF92D050"/>
        <bgColor indexed="64"/>
      </patternFill>
    </fill>
    <fill>
      <patternFill patternType="solid">
        <fgColor theme="9"/>
        <bgColor indexed="64"/>
      </patternFill>
    </fill>
    <fill>
      <patternFill patternType="solid">
        <fgColor rgb="FFE8AEE2"/>
        <bgColor indexed="64"/>
      </patternFill>
    </fill>
    <fill>
      <patternFill patternType="solid">
        <fgColor rgb="FFFFDE75"/>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rgb="FFC00000"/>
        <bgColor indexed="64"/>
      </patternFill>
    </fill>
    <fill>
      <patternFill patternType="solid">
        <fgColor theme="2" tint="-0.249977111117893"/>
        <bgColor indexed="64"/>
      </patternFill>
    </fill>
    <fill>
      <patternFill patternType="solid">
        <fgColor theme="0" tint="-0.34998626667073579"/>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thin">
        <color indexed="64"/>
      </top>
      <bottom/>
      <diagonal/>
    </border>
    <border>
      <left style="thin">
        <color auto="1"/>
      </left>
      <right style="thin">
        <color auto="1"/>
      </right>
      <top style="thin">
        <color auto="1"/>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s>
  <cellStyleXfs count="3">
    <xf numFmtId="0" fontId="0" fillId="0" borderId="0"/>
    <xf numFmtId="9" fontId="1" fillId="0" borderId="0" applyFont="0" applyFill="0" applyBorder="0" applyAlignment="0" applyProtection="0"/>
    <xf numFmtId="0" fontId="4" fillId="0" borderId="0"/>
  </cellStyleXfs>
  <cellXfs count="595">
    <xf numFmtId="0" fontId="0" fillId="0" borderId="0" xfId="0"/>
    <xf numFmtId="49" fontId="3" fillId="0" borderId="15" xfId="0" applyNumberFormat="1"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wrapText="1"/>
      <protection hidden="1"/>
    </xf>
    <xf numFmtId="49" fontId="2" fillId="0" borderId="26" xfId="0" applyNumberFormat="1" applyFont="1" applyBorder="1" applyAlignment="1" applyProtection="1">
      <alignment horizontal="center" vertical="center" wrapText="1"/>
      <protection hidden="1"/>
    </xf>
    <xf numFmtId="49" fontId="3" fillId="4" borderId="39" xfId="0" applyNumberFormat="1" applyFont="1" applyFill="1" applyBorder="1" applyAlignment="1" applyProtection="1">
      <alignment horizontal="center" vertical="center" wrapText="1"/>
      <protection hidden="1"/>
    </xf>
    <xf numFmtId="49" fontId="3" fillId="0" borderId="15" xfId="0" applyNumberFormat="1" applyFont="1" applyBorder="1" applyAlignment="1" applyProtection="1">
      <alignment horizontal="center" vertical="center"/>
      <protection hidden="1"/>
    </xf>
    <xf numFmtId="49" fontId="3" fillId="7" borderId="12" xfId="0" applyNumberFormat="1" applyFont="1" applyFill="1" applyBorder="1" applyAlignment="1" applyProtection="1">
      <alignment horizontal="center" vertical="center" wrapText="1"/>
      <protection hidden="1"/>
    </xf>
    <xf numFmtId="0" fontId="8" fillId="9" borderId="13" xfId="2" applyFont="1" applyFill="1" applyBorder="1" applyAlignment="1" applyProtection="1">
      <alignment horizontal="center" vertical="center" wrapText="1"/>
      <protection hidden="1"/>
    </xf>
    <xf numFmtId="49" fontId="3" fillId="7" borderId="15" xfId="0" applyNumberFormat="1" applyFont="1" applyFill="1" applyBorder="1" applyAlignment="1" applyProtection="1">
      <alignment horizontal="center" vertical="center" wrapText="1"/>
      <protection hidden="1"/>
    </xf>
    <xf numFmtId="49" fontId="6" fillId="0" borderId="15" xfId="2" applyNumberFormat="1" applyFont="1" applyBorder="1" applyAlignment="1" applyProtection="1">
      <alignment horizontal="center" vertical="center" wrapText="1"/>
      <protection hidden="1"/>
    </xf>
    <xf numFmtId="49" fontId="6" fillId="5" borderId="5" xfId="2" applyNumberFormat="1" applyFont="1" applyFill="1" applyBorder="1" applyAlignment="1" applyProtection="1">
      <alignment horizontal="left" vertical="center" wrapText="1"/>
      <protection hidden="1"/>
    </xf>
    <xf numFmtId="49" fontId="6" fillId="5" borderId="23" xfId="2" applyNumberFormat="1" applyFont="1" applyFill="1" applyBorder="1" applyAlignment="1" applyProtection="1">
      <alignment horizontal="left" vertical="center" wrapText="1"/>
      <protection hidden="1"/>
    </xf>
    <xf numFmtId="0" fontId="6" fillId="11" borderId="5" xfId="2" applyFont="1" applyFill="1" applyBorder="1" applyAlignment="1" applyProtection="1">
      <alignment horizontal="left" vertical="center" wrapText="1"/>
      <protection hidden="1"/>
    </xf>
    <xf numFmtId="0" fontId="6" fillId="11" borderId="23" xfId="2" applyFont="1" applyFill="1" applyBorder="1" applyAlignment="1" applyProtection="1">
      <alignment horizontal="left" vertical="center" wrapText="1"/>
      <protection hidden="1"/>
    </xf>
    <xf numFmtId="0" fontId="11" fillId="0" borderId="15" xfId="2" applyFont="1" applyBorder="1" applyAlignment="1" applyProtection="1">
      <alignment horizontal="center" vertical="center" wrapText="1"/>
      <protection hidden="1"/>
    </xf>
    <xf numFmtId="0" fontId="6" fillId="0" borderId="15" xfId="2" applyFont="1" applyBorder="1" applyAlignment="1" applyProtection="1">
      <alignment horizontal="center" vertical="center" wrapText="1"/>
      <protection hidden="1"/>
    </xf>
    <xf numFmtId="0" fontId="8" fillId="7" borderId="19" xfId="2" applyFont="1" applyFill="1" applyBorder="1" applyAlignment="1" applyProtection="1">
      <alignment horizontal="left" vertical="center" wrapText="1"/>
      <protection hidden="1"/>
    </xf>
    <xf numFmtId="0" fontId="11" fillId="0" borderId="15" xfId="2" applyFont="1" applyBorder="1" applyAlignment="1" applyProtection="1">
      <alignment horizontal="center" vertical="center"/>
      <protection hidden="1"/>
    </xf>
    <xf numFmtId="0" fontId="11" fillId="7" borderId="28" xfId="2" applyFont="1" applyFill="1" applyBorder="1" applyAlignment="1" applyProtection="1">
      <alignment horizontal="center" vertical="center" wrapText="1"/>
      <protection hidden="1"/>
    </xf>
    <xf numFmtId="49" fontId="6" fillId="7" borderId="36" xfId="0" applyNumberFormat="1" applyFont="1" applyFill="1" applyBorder="1" applyAlignment="1" applyProtection="1">
      <alignment horizontal="right" vertical="center" wrapText="1"/>
      <protection hidden="1"/>
    </xf>
    <xf numFmtId="49" fontId="3" fillId="9" borderId="15" xfId="0" applyNumberFormat="1" applyFont="1" applyFill="1" applyBorder="1" applyAlignment="1" applyProtection="1">
      <alignment horizontal="center" vertical="center" wrapText="1"/>
      <protection hidden="1"/>
    </xf>
    <xf numFmtId="0" fontId="11" fillId="9" borderId="15" xfId="2" applyFont="1" applyFill="1" applyBorder="1" applyAlignment="1" applyProtection="1">
      <alignment horizontal="center" vertical="center" wrapText="1"/>
      <protection hidden="1"/>
    </xf>
    <xf numFmtId="0" fontId="6" fillId="9" borderId="15" xfId="2" applyFont="1" applyFill="1" applyBorder="1" applyAlignment="1" applyProtection="1">
      <alignment horizontal="center" vertical="center" wrapText="1"/>
      <protection hidden="1"/>
    </xf>
    <xf numFmtId="49" fontId="3" fillId="0" borderId="0" xfId="0" applyNumberFormat="1" applyFont="1" applyAlignment="1" applyProtection="1">
      <alignment horizontal="center" vertical="center"/>
      <protection hidden="1"/>
    </xf>
    <xf numFmtId="0" fontId="8" fillId="0" borderId="13" xfId="2" applyFont="1" applyBorder="1" applyAlignment="1" applyProtection="1">
      <alignment horizontal="center" vertical="center" wrapText="1"/>
      <protection hidden="1"/>
    </xf>
    <xf numFmtId="49" fontId="2" fillId="0" borderId="15" xfId="0" applyNumberFormat="1" applyFont="1" applyBorder="1" applyAlignment="1" applyProtection="1">
      <alignment horizontal="center" vertical="center"/>
      <protection hidden="1"/>
    </xf>
    <xf numFmtId="49" fontId="2" fillId="14" borderId="41" xfId="0" applyNumberFormat="1" applyFont="1" applyFill="1" applyBorder="1" applyAlignment="1" applyProtection="1">
      <alignment horizontal="center" vertical="center"/>
      <protection hidden="1"/>
    </xf>
    <xf numFmtId="49" fontId="2" fillId="15" borderId="41" xfId="0" applyNumberFormat="1" applyFont="1" applyFill="1" applyBorder="1" applyAlignment="1" applyProtection="1">
      <alignment horizontal="center" vertical="center" wrapText="1"/>
      <protection hidden="1"/>
    </xf>
    <xf numFmtId="0" fontId="13" fillId="13" borderId="41" xfId="2" applyFont="1" applyFill="1" applyBorder="1" applyAlignment="1" applyProtection="1">
      <alignment horizontal="center" vertical="center" wrapText="1"/>
      <protection hidden="1"/>
    </xf>
    <xf numFmtId="49" fontId="2" fillId="12" borderId="41" xfId="0" applyNumberFormat="1" applyFont="1" applyFill="1" applyBorder="1" applyAlignment="1" applyProtection="1">
      <alignment horizontal="center" vertical="center" wrapText="1"/>
      <protection hidden="1"/>
    </xf>
    <xf numFmtId="0" fontId="13" fillId="12" borderId="41" xfId="2" applyFont="1" applyFill="1" applyBorder="1" applyAlignment="1" applyProtection="1">
      <alignment horizontal="center" vertical="center" wrapText="1"/>
      <protection hidden="1"/>
    </xf>
    <xf numFmtId="0" fontId="13" fillId="17" borderId="41" xfId="2" applyFont="1" applyFill="1" applyBorder="1" applyAlignment="1" applyProtection="1">
      <alignment horizontal="center" vertical="center" wrapText="1"/>
      <protection hidden="1"/>
    </xf>
    <xf numFmtId="0" fontId="13" fillId="11" borderId="41" xfId="2" applyFont="1" applyFill="1" applyBorder="1" applyAlignment="1" applyProtection="1">
      <alignment horizontal="center" vertical="center" wrapText="1"/>
      <protection hidden="1"/>
    </xf>
    <xf numFmtId="49" fontId="2" fillId="11" borderId="41" xfId="0" applyNumberFormat="1" applyFont="1" applyFill="1" applyBorder="1" applyAlignment="1" applyProtection="1">
      <alignment horizontal="center" vertical="center" wrapText="1"/>
      <protection hidden="1"/>
    </xf>
    <xf numFmtId="49" fontId="2" fillId="5" borderId="41" xfId="0" applyNumberFormat="1" applyFont="1" applyFill="1" applyBorder="1" applyAlignment="1" applyProtection="1">
      <alignment horizontal="center" vertical="center" wrapText="1"/>
      <protection hidden="1"/>
    </xf>
    <xf numFmtId="49" fontId="2" fillId="6" borderId="41" xfId="0" applyNumberFormat="1" applyFont="1" applyFill="1" applyBorder="1" applyAlignment="1" applyProtection="1">
      <alignment horizontal="center" vertical="center" wrapText="1"/>
      <protection hidden="1"/>
    </xf>
    <xf numFmtId="49" fontId="2" fillId="16" borderId="41" xfId="0" applyNumberFormat="1" applyFont="1" applyFill="1" applyBorder="1" applyAlignment="1" applyProtection="1">
      <alignment horizontal="center" vertical="center" wrapText="1"/>
      <protection hidden="1"/>
    </xf>
    <xf numFmtId="49" fontId="10" fillId="0" borderId="12" xfId="2" applyNumberFormat="1" applyFont="1" applyBorder="1" applyAlignment="1" applyProtection="1">
      <alignment horizontal="left" vertical="center" wrapText="1"/>
      <protection hidden="1"/>
    </xf>
    <xf numFmtId="49" fontId="6" fillId="10" borderId="15" xfId="2" applyNumberFormat="1" applyFont="1" applyFill="1" applyBorder="1" applyAlignment="1" applyProtection="1">
      <alignment horizontal="right" vertical="center" wrapText="1"/>
      <protection hidden="1"/>
    </xf>
    <xf numFmtId="49" fontId="6" fillId="3" borderId="15" xfId="2" applyNumberFormat="1" applyFont="1" applyFill="1" applyBorder="1" applyAlignment="1" applyProtection="1">
      <alignment horizontal="right" vertical="center" wrapText="1"/>
      <protection hidden="1"/>
    </xf>
    <xf numFmtId="49" fontId="6" fillId="7" borderId="15" xfId="0" applyNumberFormat="1" applyFont="1" applyFill="1" applyBorder="1" applyAlignment="1" applyProtection="1">
      <alignment horizontal="right" vertical="center" wrapText="1"/>
      <protection hidden="1"/>
    </xf>
    <xf numFmtId="49" fontId="8" fillId="0" borderId="12" xfId="2" applyNumberFormat="1" applyFont="1" applyBorder="1" applyAlignment="1" applyProtection="1">
      <alignment horizontal="left" vertical="center" wrapText="1"/>
      <protection hidden="1"/>
    </xf>
    <xf numFmtId="49" fontId="8" fillId="0" borderId="12" xfId="0" applyNumberFormat="1" applyFont="1" applyBorder="1" applyAlignment="1" applyProtection="1">
      <alignment horizontal="left" vertical="center" wrapText="1"/>
      <protection hidden="1"/>
    </xf>
    <xf numFmtId="49" fontId="10" fillId="0" borderId="12" xfId="0" applyNumberFormat="1" applyFont="1" applyBorder="1" applyAlignment="1" applyProtection="1">
      <alignment horizontal="left" vertical="center" wrapText="1"/>
      <protection hidden="1"/>
    </xf>
    <xf numFmtId="0" fontId="8" fillId="0" borderId="12" xfId="2" applyFont="1" applyBorder="1" applyAlignment="1" applyProtection="1">
      <alignment horizontal="left" vertical="center" wrapText="1"/>
      <protection hidden="1"/>
    </xf>
    <xf numFmtId="0" fontId="6" fillId="0" borderId="12" xfId="2" applyFont="1" applyBorder="1" applyAlignment="1" applyProtection="1">
      <alignment horizontal="left" vertical="center" wrapText="1"/>
      <protection hidden="1"/>
    </xf>
    <xf numFmtId="0" fontId="8" fillId="9" borderId="12" xfId="2" applyFont="1" applyFill="1" applyBorder="1" applyAlignment="1" applyProtection="1">
      <alignment horizontal="left" vertical="center" wrapText="1"/>
      <protection hidden="1"/>
    </xf>
    <xf numFmtId="0" fontId="10" fillId="9" borderId="40" xfId="2" applyFont="1" applyFill="1" applyBorder="1" applyAlignment="1" applyProtection="1">
      <alignment horizontal="left" vertical="center" wrapText="1"/>
      <protection hidden="1"/>
    </xf>
    <xf numFmtId="0" fontId="14" fillId="9" borderId="12" xfId="2" applyFont="1" applyFill="1" applyBorder="1" applyAlignment="1" applyProtection="1">
      <alignment horizontal="left" vertical="center" wrapText="1"/>
      <protection hidden="1"/>
    </xf>
    <xf numFmtId="0" fontId="8" fillId="9" borderId="40" xfId="2" applyFont="1" applyFill="1" applyBorder="1" applyAlignment="1" applyProtection="1">
      <alignment horizontal="left" vertical="center" wrapText="1"/>
      <protection hidden="1"/>
    </xf>
    <xf numFmtId="0" fontId="8" fillId="9" borderId="10" xfId="2" applyFont="1" applyFill="1" applyBorder="1" applyAlignment="1" applyProtection="1">
      <alignment horizontal="center" vertical="center" wrapText="1"/>
      <protection hidden="1"/>
    </xf>
    <xf numFmtId="0" fontId="8" fillId="7" borderId="28" xfId="2" applyFont="1" applyFill="1" applyBorder="1" applyAlignment="1" applyProtection="1">
      <alignment horizontal="center" vertical="center" wrapText="1"/>
      <protection hidden="1"/>
    </xf>
    <xf numFmtId="49" fontId="6" fillId="10" borderId="16" xfId="2" applyNumberFormat="1" applyFont="1" applyFill="1" applyBorder="1" applyAlignment="1" applyProtection="1">
      <alignment horizontal="right" vertical="center" wrapText="1"/>
      <protection hidden="1"/>
    </xf>
    <xf numFmtId="49" fontId="6" fillId="3" borderId="16" xfId="2" applyNumberFormat="1" applyFont="1" applyFill="1" applyBorder="1" applyAlignment="1" applyProtection="1">
      <alignment horizontal="right" vertical="center" wrapText="1"/>
      <protection hidden="1"/>
    </xf>
    <xf numFmtId="49" fontId="6" fillId="7" borderId="16" xfId="0" applyNumberFormat="1" applyFont="1" applyFill="1" applyBorder="1" applyAlignment="1" applyProtection="1">
      <alignment horizontal="right" vertical="center" wrapText="1"/>
      <protection hidden="1"/>
    </xf>
    <xf numFmtId="0" fontId="8" fillId="9" borderId="9" xfId="2" applyFont="1" applyFill="1" applyBorder="1" applyAlignment="1" applyProtection="1">
      <alignment horizontal="center" vertical="center" wrapText="1"/>
      <protection hidden="1"/>
    </xf>
    <xf numFmtId="49" fontId="8" fillId="0" borderId="12" xfId="0" applyNumberFormat="1" applyFont="1" applyBorder="1" applyAlignment="1" applyProtection="1">
      <alignment vertical="center" wrapText="1"/>
      <protection hidden="1"/>
    </xf>
    <xf numFmtId="49" fontId="8" fillId="7" borderId="9" xfId="0" applyNumberFormat="1" applyFont="1" applyFill="1" applyBorder="1" applyAlignment="1" applyProtection="1">
      <alignment vertical="center" wrapText="1"/>
      <protection hidden="1"/>
    </xf>
    <xf numFmtId="0" fontId="8" fillId="7" borderId="11" xfId="2" applyFont="1" applyFill="1" applyBorder="1" applyAlignment="1" applyProtection="1">
      <alignment horizontal="left" vertical="center" wrapText="1"/>
      <protection hidden="1"/>
    </xf>
    <xf numFmtId="0" fontId="11" fillId="7" borderId="11" xfId="2" applyFont="1" applyFill="1" applyBorder="1" applyAlignment="1" applyProtection="1">
      <alignment horizontal="left" vertical="center" wrapText="1"/>
      <protection hidden="1"/>
    </xf>
    <xf numFmtId="49" fontId="6" fillId="10" borderId="20" xfId="2" applyNumberFormat="1" applyFont="1" applyFill="1" applyBorder="1" applyAlignment="1" applyProtection="1">
      <alignment horizontal="right" vertical="center" wrapText="1"/>
      <protection hidden="1"/>
    </xf>
    <xf numFmtId="49" fontId="6" fillId="7" borderId="17" xfId="0" applyNumberFormat="1" applyFont="1" applyFill="1" applyBorder="1" applyAlignment="1" applyProtection="1">
      <alignment horizontal="right" vertical="center" wrapText="1"/>
      <protection hidden="1"/>
    </xf>
    <xf numFmtId="0" fontId="8" fillId="7" borderId="20" xfId="2" applyFont="1" applyFill="1" applyBorder="1" applyAlignment="1" applyProtection="1">
      <alignment horizontal="left" vertical="center" wrapText="1"/>
      <protection hidden="1"/>
    </xf>
    <xf numFmtId="49" fontId="3" fillId="0" borderId="12" xfId="0" applyNumberFormat="1" applyFont="1" applyBorder="1" applyAlignment="1" applyProtection="1">
      <alignment horizontal="left" vertical="center" wrapText="1" indent="1"/>
      <protection hidden="1"/>
    </xf>
    <xf numFmtId="0" fontId="11" fillId="7" borderId="12" xfId="2" applyFont="1" applyFill="1" applyBorder="1" applyAlignment="1" applyProtection="1">
      <alignment horizontal="left" vertical="center" wrapText="1"/>
      <protection hidden="1"/>
    </xf>
    <xf numFmtId="49" fontId="6" fillId="3" borderId="12" xfId="2" applyNumberFormat="1" applyFont="1" applyFill="1" applyBorder="1" applyAlignment="1" applyProtection="1">
      <alignment horizontal="center" vertical="center" wrapText="1"/>
      <protection hidden="1"/>
    </xf>
    <xf numFmtId="0" fontId="11" fillId="7" borderId="12" xfId="2"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wrapText="1"/>
      <protection hidden="1"/>
    </xf>
    <xf numFmtId="49" fontId="2" fillId="7" borderId="1" xfId="0" applyNumberFormat="1" applyFont="1" applyFill="1" applyBorder="1" applyAlignment="1" applyProtection="1">
      <alignment horizontal="center" vertical="center"/>
      <protection hidden="1"/>
    </xf>
    <xf numFmtId="49" fontId="2" fillId="7" borderId="1" xfId="0" applyNumberFormat="1" applyFont="1" applyFill="1" applyBorder="1" applyAlignment="1" applyProtection="1">
      <alignment horizontal="center" vertical="center" wrapText="1"/>
      <protection hidden="1"/>
    </xf>
    <xf numFmtId="49" fontId="6" fillId="6" borderId="5" xfId="2" applyNumberFormat="1" applyFont="1" applyFill="1" applyBorder="1" applyAlignment="1" applyProtection="1">
      <alignment horizontal="left" vertical="center" wrapText="1"/>
      <protection hidden="1"/>
    </xf>
    <xf numFmtId="49" fontId="6" fillId="6" borderId="23" xfId="2" applyNumberFormat="1" applyFont="1" applyFill="1" applyBorder="1" applyAlignment="1" applyProtection="1">
      <alignment horizontal="left" vertical="center" wrapText="1"/>
      <protection hidden="1"/>
    </xf>
    <xf numFmtId="49" fontId="6" fillId="10" borderId="0" xfId="2" applyNumberFormat="1" applyFont="1" applyFill="1" applyAlignment="1" applyProtection="1">
      <alignment horizontal="right" vertical="center" wrapText="1"/>
      <protection hidden="1"/>
    </xf>
    <xf numFmtId="49" fontId="6" fillId="3" borderId="0" xfId="2" applyNumberFormat="1" applyFont="1" applyFill="1" applyAlignment="1" applyProtection="1">
      <alignment horizontal="right" vertical="center" wrapText="1"/>
      <protection hidden="1"/>
    </xf>
    <xf numFmtId="0" fontId="6" fillId="17" borderId="5" xfId="2" applyFont="1" applyFill="1" applyBorder="1" applyAlignment="1" applyProtection="1">
      <alignment horizontal="left" vertical="center" wrapText="1"/>
      <protection hidden="1"/>
    </xf>
    <xf numFmtId="0" fontId="6" fillId="17" borderId="23" xfId="2" applyFont="1" applyFill="1" applyBorder="1" applyAlignment="1" applyProtection="1">
      <alignment horizontal="left" vertical="center" wrapText="1"/>
      <protection hidden="1"/>
    </xf>
    <xf numFmtId="0" fontId="6" fillId="13" borderId="5" xfId="2" applyFont="1" applyFill="1" applyBorder="1" applyAlignment="1" applyProtection="1">
      <alignment horizontal="left" vertical="center" wrapText="1"/>
      <protection hidden="1"/>
    </xf>
    <xf numFmtId="0" fontId="6" fillId="13" borderId="23" xfId="2" applyFont="1" applyFill="1" applyBorder="1" applyAlignment="1" applyProtection="1">
      <alignment horizontal="left" vertical="center" wrapText="1"/>
      <protection hidden="1"/>
    </xf>
    <xf numFmtId="0" fontId="0" fillId="0" borderId="15" xfId="0" applyBorder="1" applyAlignment="1" applyProtection="1">
      <alignment horizontal="center" vertical="center"/>
      <protection hidden="1"/>
    </xf>
    <xf numFmtId="49" fontId="3" fillId="18" borderId="13" xfId="0" applyNumberFormat="1" applyFont="1" applyFill="1" applyBorder="1" applyAlignment="1" applyProtection="1">
      <alignment horizontal="left" vertical="center" wrapText="1"/>
      <protection locked="0"/>
    </xf>
    <xf numFmtId="49" fontId="3" fillId="0" borderId="0" xfId="0" applyNumberFormat="1" applyFont="1" applyAlignment="1" applyProtection="1">
      <alignment vertical="center" wrapText="1"/>
      <protection locked="0"/>
    </xf>
    <xf numFmtId="49" fontId="3" fillId="0" borderId="43" xfId="0" applyNumberFormat="1" applyFont="1" applyBorder="1" applyAlignment="1" applyProtection="1">
      <alignment vertical="center" wrapText="1"/>
      <protection locked="0"/>
    </xf>
    <xf numFmtId="49" fontId="3" fillId="0" borderId="0" xfId="0" applyNumberFormat="1" applyFont="1" applyAlignment="1">
      <alignment horizontal="left" vertical="center"/>
    </xf>
    <xf numFmtId="49" fontId="3" fillId="0" borderId="0" xfId="0" applyNumberFormat="1" applyFont="1" applyAlignment="1">
      <alignment horizontal="left" vertical="top"/>
    </xf>
    <xf numFmtId="49" fontId="3" fillId="0" borderId="0" xfId="0" applyNumberFormat="1" applyFont="1" applyAlignment="1">
      <alignment horizontal="left" vertical="center" wrapText="1"/>
    </xf>
    <xf numFmtId="49" fontId="3" fillId="0" borderId="33" xfId="0" applyNumberFormat="1" applyFont="1" applyBorder="1" applyAlignment="1">
      <alignment horizontal="left" vertical="center" wrapText="1"/>
    </xf>
    <xf numFmtId="49" fontId="3" fillId="0" borderId="16" xfId="0" applyNumberFormat="1" applyFont="1" applyBorder="1" applyAlignment="1">
      <alignment horizontal="right" vertical="center" wrapText="1"/>
    </xf>
    <xf numFmtId="49" fontId="3" fillId="0" borderId="0" xfId="0" applyNumberFormat="1" applyFont="1" applyAlignment="1">
      <alignment horizontal="right" vertical="center" wrapText="1"/>
    </xf>
    <xf numFmtId="49" fontId="3" fillId="0" borderId="27" xfId="0" applyNumberFormat="1" applyFont="1" applyBorder="1" applyAlignment="1">
      <alignment horizontal="left" vertical="center" wrapText="1"/>
    </xf>
    <xf numFmtId="49" fontId="3" fillId="0" borderId="1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43" xfId="0" applyNumberFormat="1" applyFont="1" applyBorder="1" applyAlignment="1">
      <alignment horizontal="left" vertical="center" wrapText="1"/>
    </xf>
    <xf numFmtId="49" fontId="3" fillId="0" borderId="44" xfId="0" applyNumberFormat="1" applyFont="1" applyBorder="1" applyAlignment="1">
      <alignment horizontal="left" vertical="center" wrapText="1"/>
    </xf>
    <xf numFmtId="49" fontId="3" fillId="9" borderId="0" xfId="0" applyNumberFormat="1" applyFont="1" applyFill="1" applyAlignment="1">
      <alignment horizontal="left" vertical="center" wrapText="1"/>
    </xf>
    <xf numFmtId="49" fontId="3" fillId="0" borderId="13" xfId="0" applyNumberFormat="1" applyFont="1" applyBorder="1" applyAlignment="1">
      <alignment horizontal="center" vertical="center" wrapText="1"/>
    </xf>
    <xf numFmtId="49" fontId="3" fillId="10" borderId="13" xfId="0" applyNumberFormat="1" applyFont="1" applyFill="1" applyBorder="1" applyAlignment="1">
      <alignment horizontal="center" vertical="center" wrapText="1"/>
    </xf>
    <xf numFmtId="49" fontId="3" fillId="20" borderId="13" xfId="0" applyNumberFormat="1" applyFont="1" applyFill="1" applyBorder="1" applyAlignment="1">
      <alignment horizontal="left" vertical="center" wrapText="1"/>
    </xf>
    <xf numFmtId="49" fontId="3" fillId="8" borderId="13" xfId="0" applyNumberFormat="1" applyFont="1" applyFill="1" applyBorder="1" applyAlignment="1">
      <alignment horizontal="left" vertical="center" wrapText="1"/>
    </xf>
    <xf numFmtId="49" fontId="3" fillId="7" borderId="13" xfId="0" applyNumberFormat="1" applyFont="1" applyFill="1" applyBorder="1" applyAlignment="1">
      <alignment horizontal="left" vertical="center" wrapText="1"/>
    </xf>
    <xf numFmtId="49" fontId="20" fillId="22" borderId="13" xfId="0" applyNumberFormat="1" applyFont="1" applyFill="1" applyBorder="1" applyAlignment="1">
      <alignment horizontal="left" vertical="center" wrapText="1"/>
    </xf>
    <xf numFmtId="49" fontId="3" fillId="0" borderId="12" xfId="0" applyNumberFormat="1" applyFont="1" applyBorder="1" applyAlignment="1" applyProtection="1">
      <alignment horizontal="center" vertical="center" wrapText="1"/>
      <protection locked="0"/>
    </xf>
    <xf numFmtId="49" fontId="3" fillId="0" borderId="40" xfId="0" applyNumberFormat="1" applyFont="1" applyBorder="1" applyAlignment="1" applyProtection="1">
      <alignment horizontal="center" vertical="center" wrapText="1"/>
      <protection locked="0"/>
    </xf>
    <xf numFmtId="49" fontId="3" fillId="0" borderId="12" xfId="0" applyNumberFormat="1" applyFont="1" applyBorder="1" applyAlignment="1" applyProtection="1">
      <alignment horizontal="center" vertical="center"/>
      <protection locked="0"/>
    </xf>
    <xf numFmtId="49" fontId="3" fillId="18" borderId="12" xfId="0" applyNumberFormat="1" applyFont="1" applyFill="1" applyBorder="1" applyAlignment="1" applyProtection="1">
      <alignment horizontal="center" vertical="center" wrapText="1"/>
      <protection locked="0"/>
    </xf>
    <xf numFmtId="1" fontId="3" fillId="18" borderId="12" xfId="0" applyNumberFormat="1" applyFont="1" applyFill="1" applyBorder="1" applyAlignment="1" applyProtection="1">
      <alignment horizontal="center" vertical="center"/>
      <protection locked="0"/>
    </xf>
    <xf numFmtId="0" fontId="8" fillId="18" borderId="9" xfId="2" applyFont="1" applyFill="1" applyBorder="1" applyAlignment="1" applyProtection="1">
      <alignment horizontal="center" vertical="center" wrapText="1"/>
      <protection locked="0"/>
    </xf>
    <xf numFmtId="0" fontId="8" fillId="18" borderId="13" xfId="2" applyFont="1" applyFill="1" applyBorder="1" applyAlignment="1" applyProtection="1">
      <alignment horizontal="center" vertical="center" wrapText="1"/>
      <protection locked="0"/>
    </xf>
    <xf numFmtId="0" fontId="8" fillId="18" borderId="10" xfId="2" applyFont="1" applyFill="1" applyBorder="1" applyAlignment="1" applyProtection="1">
      <alignment horizontal="center" vertical="center" wrapText="1"/>
      <protection locked="0"/>
    </xf>
    <xf numFmtId="0" fontId="8" fillId="18" borderId="34" xfId="2" applyFont="1" applyFill="1" applyBorder="1" applyAlignment="1" applyProtection="1">
      <alignment horizontal="center" vertical="center" wrapText="1"/>
      <protection locked="0"/>
    </xf>
    <xf numFmtId="0" fontId="0" fillId="0" borderId="0" xfId="0" applyProtection="1">
      <protection hidden="1"/>
    </xf>
    <xf numFmtId="0" fontId="19" fillId="0" borderId="48" xfId="0" applyFont="1" applyBorder="1" applyAlignment="1" applyProtection="1">
      <alignment horizontal="center" vertical="center"/>
      <protection hidden="1"/>
    </xf>
    <xf numFmtId="0" fontId="19" fillId="0" borderId="8" xfId="0" applyFont="1" applyBorder="1" applyAlignment="1" applyProtection="1">
      <alignment horizontal="center" vertical="center"/>
      <protection hidden="1"/>
    </xf>
    <xf numFmtId="0" fontId="0" fillId="0" borderId="6" xfId="0" applyBorder="1" applyProtection="1">
      <protection hidden="1"/>
    </xf>
    <xf numFmtId="0" fontId="0" fillId="7" borderId="45" xfId="0" applyFill="1" applyBorder="1" applyProtection="1">
      <protection hidden="1"/>
    </xf>
    <xf numFmtId="0" fontId="0" fillId="0" borderId="16" xfId="0" applyBorder="1" applyProtection="1">
      <protection hidden="1"/>
    </xf>
    <xf numFmtId="9" fontId="0" fillId="0" borderId="46" xfId="1" applyFont="1" applyBorder="1" applyAlignment="1" applyProtection="1">
      <alignment horizontal="center" vertical="center"/>
      <protection hidden="1"/>
    </xf>
    <xf numFmtId="9" fontId="0" fillId="0" borderId="47" xfId="1" applyFont="1" applyBorder="1" applyAlignment="1" applyProtection="1">
      <alignment horizontal="center" vertical="center"/>
      <protection hidden="1"/>
    </xf>
    <xf numFmtId="0" fontId="0" fillId="0" borderId="0" xfId="0" applyAlignment="1" applyProtection="1">
      <alignment wrapText="1"/>
      <protection hidden="1"/>
    </xf>
    <xf numFmtId="9" fontId="0" fillId="0" borderId="0" xfId="1" applyFont="1" applyBorder="1" applyAlignment="1" applyProtection="1">
      <alignment horizontal="center" vertical="center"/>
      <protection hidden="1"/>
    </xf>
    <xf numFmtId="0" fontId="0" fillId="0" borderId="16" xfId="0" applyBorder="1" applyAlignment="1" applyProtection="1">
      <alignment horizontal="left"/>
      <protection hidden="1"/>
    </xf>
    <xf numFmtId="0" fontId="0" fillId="20" borderId="16" xfId="0" applyFill="1" applyBorder="1" applyAlignment="1" applyProtection="1">
      <alignment horizontal="left" indent="2"/>
      <protection hidden="1"/>
    </xf>
    <xf numFmtId="0" fontId="0" fillId="8" borderId="16" xfId="0" applyFill="1" applyBorder="1" applyAlignment="1" applyProtection="1">
      <alignment horizontal="left" indent="2"/>
      <protection hidden="1"/>
    </xf>
    <xf numFmtId="0" fontId="21" fillId="22" borderId="25" xfId="0" applyFont="1" applyFill="1" applyBorder="1" applyAlignment="1" applyProtection="1">
      <alignment horizontal="left" indent="2"/>
      <protection hidden="1"/>
    </xf>
    <xf numFmtId="0" fontId="0" fillId="21" borderId="16" xfId="0" applyFill="1" applyBorder="1" applyProtection="1">
      <protection hidden="1"/>
    </xf>
    <xf numFmtId="49" fontId="3" fillId="0" borderId="16" xfId="0" applyNumberFormat="1" applyFont="1" applyBorder="1" applyAlignment="1" applyProtection="1">
      <alignment horizontal="center" vertical="center" wrapText="1"/>
      <protection hidden="1"/>
    </xf>
    <xf numFmtId="0" fontId="19" fillId="0" borderId="48" xfId="0" applyFont="1" applyBorder="1" applyAlignment="1" applyProtection="1">
      <alignment horizontal="center"/>
      <protection hidden="1"/>
    </xf>
    <xf numFmtId="0" fontId="19" fillId="0" borderId="8" xfId="0" applyFont="1" applyBorder="1" applyAlignment="1" applyProtection="1">
      <alignment horizontal="center"/>
      <protection hidden="1"/>
    </xf>
    <xf numFmtId="0" fontId="0" fillId="0" borderId="50" xfId="0" applyBorder="1" applyProtection="1">
      <protection hidden="1"/>
    </xf>
    <xf numFmtId="0" fontId="0" fillId="0" borderId="51" xfId="0" applyBorder="1" applyProtection="1">
      <protection hidden="1"/>
    </xf>
    <xf numFmtId="0" fontId="19" fillId="0" borderId="2" xfId="0" applyFont="1" applyBorder="1" applyAlignment="1" applyProtection="1">
      <alignment horizontal="center" vertical="center"/>
      <protection hidden="1"/>
    </xf>
    <xf numFmtId="0" fontId="19" fillId="0" borderId="2" xfId="0" applyFont="1" applyBorder="1" applyAlignment="1" applyProtection="1">
      <alignment horizontal="center"/>
      <protection hidden="1"/>
    </xf>
    <xf numFmtId="0" fontId="0" fillId="0" borderId="25" xfId="0" applyBorder="1" applyProtection="1">
      <protection hidden="1"/>
    </xf>
    <xf numFmtId="0" fontId="19" fillId="7" borderId="49" xfId="0" applyFont="1" applyFill="1"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0" fillId="0" borderId="51"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9" fontId="0" fillId="0" borderId="16" xfId="1" applyFont="1" applyBorder="1" applyAlignment="1" applyProtection="1">
      <alignment horizontal="center" vertical="center"/>
      <protection hidden="1"/>
    </xf>
    <xf numFmtId="9" fontId="0" fillId="0" borderId="27" xfId="1" applyFont="1" applyBorder="1" applyAlignment="1" applyProtection="1">
      <alignment horizontal="center" vertical="center"/>
      <protection hidden="1"/>
    </xf>
    <xf numFmtId="9" fontId="0" fillId="0" borderId="25" xfId="1" applyFont="1" applyBorder="1" applyAlignment="1" applyProtection="1">
      <alignment horizontal="center" vertical="center"/>
      <protection hidden="1"/>
    </xf>
    <xf numFmtId="9" fontId="0" fillId="0" borderId="43" xfId="1" applyFont="1" applyBorder="1" applyAlignment="1" applyProtection="1">
      <alignment horizontal="center" vertical="center"/>
      <protection hidden="1"/>
    </xf>
    <xf numFmtId="9" fontId="0" fillId="0" borderId="44" xfId="1" applyFont="1" applyBorder="1" applyAlignment="1" applyProtection="1">
      <alignment horizontal="center" vertical="center"/>
      <protection hidden="1"/>
    </xf>
    <xf numFmtId="1" fontId="0" fillId="0" borderId="16" xfId="0" applyNumberFormat="1" applyBorder="1" applyAlignment="1" applyProtection="1">
      <alignment horizontal="center" vertical="center"/>
      <protection hidden="1"/>
    </xf>
    <xf numFmtId="1" fontId="0" fillId="0" borderId="27" xfId="0" applyNumberFormat="1" applyBorder="1" applyAlignment="1" applyProtection="1">
      <alignment horizontal="center" vertical="center"/>
      <protection hidden="1"/>
    </xf>
    <xf numFmtId="1" fontId="0" fillId="0" borderId="25" xfId="0" applyNumberFormat="1" applyBorder="1" applyAlignment="1" applyProtection="1">
      <alignment horizontal="center" vertical="center"/>
      <protection hidden="1"/>
    </xf>
    <xf numFmtId="1" fontId="0" fillId="0" borderId="43" xfId="0" applyNumberFormat="1" applyBorder="1" applyAlignment="1" applyProtection="1">
      <alignment horizontal="center" vertical="center"/>
      <protection hidden="1"/>
    </xf>
    <xf numFmtId="1" fontId="0" fillId="0" borderId="44" xfId="0" applyNumberFormat="1" applyBorder="1" applyAlignment="1" applyProtection="1">
      <alignment horizontal="center" vertical="center"/>
      <protection hidden="1"/>
    </xf>
    <xf numFmtId="9" fontId="0" fillId="0" borderId="0" xfId="1" applyFont="1" applyProtection="1">
      <protection hidden="1"/>
    </xf>
    <xf numFmtId="1" fontId="0" fillId="0" borderId="0" xfId="0" applyNumberFormat="1" applyProtection="1">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49" fontId="6" fillId="16" borderId="5" xfId="2" applyNumberFormat="1" applyFont="1" applyFill="1" applyBorder="1" applyAlignment="1" applyProtection="1">
      <alignment horizontal="left" vertical="center" wrapText="1"/>
      <protection hidden="1"/>
    </xf>
    <xf numFmtId="49" fontId="6" fillId="16" borderId="23" xfId="2" applyNumberFormat="1" applyFont="1" applyFill="1" applyBorder="1" applyAlignment="1" applyProtection="1">
      <alignment horizontal="left" vertical="center" wrapText="1"/>
      <protection hidden="1"/>
    </xf>
    <xf numFmtId="49" fontId="6" fillId="16" borderId="23" xfId="2" applyNumberFormat="1" applyFont="1" applyFill="1" applyBorder="1" applyAlignment="1" applyProtection="1">
      <alignment horizontal="center" vertical="center" wrapText="1"/>
      <protection hidden="1"/>
    </xf>
    <xf numFmtId="49" fontId="6" fillId="6" borderId="23" xfId="2" applyNumberFormat="1" applyFont="1" applyFill="1" applyBorder="1" applyAlignment="1" applyProtection="1">
      <alignment horizontal="center" vertical="center" wrapText="1"/>
      <protection hidden="1"/>
    </xf>
    <xf numFmtId="49" fontId="6" fillId="5" borderId="23" xfId="2" applyNumberFormat="1" applyFont="1" applyFill="1" applyBorder="1" applyAlignment="1" applyProtection="1">
      <alignment horizontal="center" vertical="center" wrapText="1"/>
      <protection hidden="1"/>
    </xf>
    <xf numFmtId="49" fontId="6" fillId="11" borderId="23" xfId="2" applyNumberFormat="1" applyFont="1" applyFill="1" applyBorder="1" applyAlignment="1" applyProtection="1">
      <alignment horizontal="center" vertical="center" wrapText="1"/>
      <protection hidden="1"/>
    </xf>
    <xf numFmtId="0" fontId="6" fillId="11" borderId="23" xfId="2" applyFont="1" applyFill="1" applyBorder="1" applyAlignment="1" applyProtection="1">
      <alignment horizontal="center" vertical="center" wrapText="1"/>
      <protection hidden="1"/>
    </xf>
    <xf numFmtId="49" fontId="13" fillId="11" borderId="23" xfId="2" applyNumberFormat="1" applyFont="1" applyFill="1" applyBorder="1" applyAlignment="1" applyProtection="1">
      <alignment horizontal="center" vertical="center" wrapText="1"/>
      <protection hidden="1"/>
    </xf>
    <xf numFmtId="0" fontId="6" fillId="17" borderId="23" xfId="2" applyFont="1" applyFill="1" applyBorder="1" applyAlignment="1" applyProtection="1">
      <alignment horizontal="center" vertical="center" wrapText="1"/>
      <protection hidden="1"/>
    </xf>
    <xf numFmtId="49" fontId="6" fillId="17" borderId="23" xfId="2" applyNumberFormat="1" applyFont="1" applyFill="1" applyBorder="1" applyAlignment="1" applyProtection="1">
      <alignment horizontal="center" vertical="center" wrapText="1"/>
      <protection hidden="1"/>
    </xf>
    <xf numFmtId="49" fontId="6" fillId="12" borderId="23" xfId="2" applyNumberFormat="1" applyFont="1" applyFill="1" applyBorder="1" applyAlignment="1" applyProtection="1">
      <alignment horizontal="center" vertical="center" wrapText="1"/>
      <protection hidden="1"/>
    </xf>
    <xf numFmtId="0" fontId="6" fillId="12" borderId="5" xfId="2" applyFont="1" applyFill="1" applyBorder="1" applyAlignment="1" applyProtection="1">
      <alignment horizontal="left" vertical="center" wrapText="1"/>
      <protection hidden="1"/>
    </xf>
    <xf numFmtId="49" fontId="13" fillId="12" borderId="23" xfId="2" applyNumberFormat="1" applyFont="1" applyFill="1" applyBorder="1" applyAlignment="1" applyProtection="1">
      <alignment horizontal="center" vertical="center" wrapText="1"/>
      <protection hidden="1"/>
    </xf>
    <xf numFmtId="0" fontId="6" fillId="13" borderId="23" xfId="2" applyFont="1" applyFill="1" applyBorder="1" applyAlignment="1" applyProtection="1">
      <alignment horizontal="center" vertical="center" wrapText="1"/>
      <protection hidden="1"/>
    </xf>
    <xf numFmtId="49" fontId="6" fillId="13" borderId="23" xfId="2" applyNumberFormat="1" applyFont="1" applyFill="1" applyBorder="1" applyAlignment="1" applyProtection="1">
      <alignment horizontal="center" vertical="center" wrapText="1"/>
      <protection hidden="1"/>
    </xf>
    <xf numFmtId="49" fontId="6" fillId="15" borderId="23" xfId="2" applyNumberFormat="1" applyFont="1" applyFill="1" applyBorder="1" applyAlignment="1" applyProtection="1">
      <alignment horizontal="center" vertical="center" wrapText="1"/>
      <protection hidden="1"/>
    </xf>
    <xf numFmtId="49" fontId="6" fillId="14" borderId="23" xfId="2" applyNumberFormat="1" applyFont="1" applyFill="1" applyBorder="1" applyAlignment="1" applyProtection="1">
      <alignment horizontal="center" vertical="center" wrapText="1"/>
      <protection hidden="1"/>
    </xf>
    <xf numFmtId="0" fontId="19" fillId="18" borderId="2" xfId="0" applyFont="1" applyFill="1" applyBorder="1" applyAlignment="1" applyProtection="1">
      <alignment horizontal="left" indent="2"/>
      <protection hidden="1"/>
    </xf>
    <xf numFmtId="49" fontId="3" fillId="0" borderId="13" xfId="0" applyNumberFormat="1" applyFont="1" applyBorder="1" applyAlignment="1">
      <alignment vertical="center" wrapText="1"/>
    </xf>
    <xf numFmtId="49" fontId="3" fillId="10" borderId="0" xfId="0" applyNumberFormat="1" applyFont="1" applyFill="1" applyAlignment="1">
      <alignment vertical="center" wrapText="1"/>
    </xf>
    <xf numFmtId="49" fontId="3" fillId="0" borderId="0" xfId="0" applyNumberFormat="1" applyFont="1" applyAlignment="1">
      <alignment vertical="center" wrapText="1"/>
    </xf>
    <xf numFmtId="49" fontId="3" fillId="20" borderId="14" xfId="0" applyNumberFormat="1" applyFont="1" applyFill="1" applyBorder="1" applyAlignment="1" applyProtection="1">
      <alignment vertical="center" wrapText="1"/>
      <protection hidden="1"/>
    </xf>
    <xf numFmtId="49" fontId="3" fillId="8" borderId="14" xfId="0" applyNumberFormat="1" applyFont="1" applyFill="1" applyBorder="1" applyAlignment="1" applyProtection="1">
      <alignment vertical="center" wrapText="1"/>
      <protection hidden="1"/>
    </xf>
    <xf numFmtId="49" fontId="20" fillId="22" borderId="14" xfId="0" applyNumberFormat="1" applyFont="1" applyFill="1" applyBorder="1" applyAlignment="1" applyProtection="1">
      <alignment vertical="center" wrapText="1"/>
      <protection hidden="1"/>
    </xf>
    <xf numFmtId="49" fontId="3" fillId="7" borderId="14" xfId="0" applyNumberFormat="1" applyFont="1" applyFill="1" applyBorder="1" applyAlignment="1" applyProtection="1">
      <alignment vertical="center" wrapText="1"/>
      <protection hidden="1"/>
    </xf>
    <xf numFmtId="49" fontId="3" fillId="10" borderId="14" xfId="0" applyNumberFormat="1" applyFont="1" applyFill="1" applyBorder="1" applyAlignment="1" applyProtection="1">
      <alignment horizontal="center" vertical="center" wrapText="1"/>
      <protection hidden="1"/>
    </xf>
    <xf numFmtId="49" fontId="3" fillId="10" borderId="27" xfId="0" applyNumberFormat="1" applyFont="1" applyFill="1" applyBorder="1" applyAlignment="1" applyProtection="1">
      <alignment vertical="center" wrapText="1"/>
      <protection hidden="1"/>
    </xf>
    <xf numFmtId="49" fontId="3" fillId="0" borderId="27" xfId="0" applyNumberFormat="1" applyFont="1" applyBorder="1" applyAlignment="1" applyProtection="1">
      <alignment vertical="center" wrapText="1"/>
      <protection hidden="1"/>
    </xf>
    <xf numFmtId="0" fontId="8" fillId="7" borderId="29" xfId="2" applyFont="1" applyFill="1" applyBorder="1" applyAlignment="1" applyProtection="1">
      <alignment horizontal="center" vertical="center" wrapText="1"/>
      <protection hidden="1"/>
    </xf>
    <xf numFmtId="49" fontId="3" fillId="0" borderId="36" xfId="0" applyNumberFormat="1" applyFont="1" applyBorder="1" applyAlignment="1">
      <alignment horizontal="left" vertical="center" wrapText="1"/>
    </xf>
    <xf numFmtId="49" fontId="13" fillId="16" borderId="23" xfId="2" applyNumberFormat="1" applyFont="1" applyFill="1" applyBorder="1" applyAlignment="1" applyProtection="1">
      <alignment horizontal="center" vertical="center" wrapText="1"/>
      <protection hidden="1"/>
    </xf>
    <xf numFmtId="49" fontId="8" fillId="0" borderId="11" xfId="2" applyNumberFormat="1" applyFont="1" applyBorder="1" applyAlignment="1" applyProtection="1">
      <alignment horizontal="left" vertical="center" wrapText="1"/>
      <protection hidden="1"/>
    </xf>
    <xf numFmtId="49" fontId="8" fillId="0" borderId="11" xfId="0" applyNumberFormat="1" applyFont="1" applyBorder="1" applyAlignment="1" applyProtection="1">
      <alignment horizontal="left" vertical="center" wrapText="1"/>
      <protection hidden="1"/>
    </xf>
    <xf numFmtId="0" fontId="8" fillId="9" borderId="11" xfId="2" applyFont="1" applyFill="1" applyBorder="1" applyAlignment="1" applyProtection="1">
      <alignment horizontal="left" vertical="center" wrapText="1"/>
      <protection hidden="1"/>
    </xf>
    <xf numFmtId="0" fontId="8" fillId="0" borderId="20" xfId="2" applyFont="1" applyBorder="1" applyAlignment="1" applyProtection="1">
      <alignment horizontal="left" vertical="center" wrapText="1"/>
      <protection hidden="1"/>
    </xf>
    <xf numFmtId="49" fontId="3" fillId="0" borderId="28" xfId="0" applyNumberFormat="1" applyFont="1" applyBorder="1" applyAlignment="1" applyProtection="1">
      <alignment horizontal="left" vertical="center" wrapText="1" indent="1"/>
      <protection hidden="1"/>
    </xf>
    <xf numFmtId="49" fontId="3" fillId="4" borderId="30" xfId="0" applyNumberFormat="1" applyFont="1" applyFill="1" applyBorder="1" applyAlignment="1" applyProtection="1">
      <alignment horizontal="center" vertical="center" wrapText="1"/>
      <protection hidden="1"/>
    </xf>
    <xf numFmtId="49" fontId="6" fillId="16" borderId="52" xfId="2" applyNumberFormat="1" applyFont="1" applyFill="1" applyBorder="1" applyAlignment="1" applyProtection="1">
      <alignment horizontal="left" vertical="center" wrapText="1"/>
      <protection hidden="1"/>
    </xf>
    <xf numFmtId="49" fontId="6" fillId="16" borderId="52" xfId="2" applyNumberFormat="1" applyFont="1" applyFill="1" applyBorder="1" applyAlignment="1" applyProtection="1">
      <alignment horizontal="center" vertical="center" wrapText="1"/>
      <protection hidden="1"/>
    </xf>
    <xf numFmtId="49" fontId="6" fillId="10" borderId="29" xfId="2" applyNumberFormat="1" applyFont="1" applyFill="1" applyBorder="1" applyAlignment="1" applyProtection="1">
      <alignment horizontal="right" vertical="center" wrapText="1"/>
      <protection hidden="1"/>
    </xf>
    <xf numFmtId="49" fontId="6" fillId="3" borderId="27" xfId="2" applyNumberFormat="1" applyFont="1" applyFill="1" applyBorder="1" applyAlignment="1" applyProtection="1">
      <alignment horizontal="right" vertical="center" wrapText="1"/>
      <protection hidden="1"/>
    </xf>
    <xf numFmtId="49" fontId="6" fillId="7" borderId="37" xfId="0" applyNumberFormat="1" applyFont="1" applyFill="1" applyBorder="1" applyAlignment="1" applyProtection="1">
      <alignment horizontal="right" vertical="center" wrapText="1"/>
      <protection hidden="1"/>
    </xf>
    <xf numFmtId="0" fontId="8" fillId="9" borderId="57" xfId="2" applyFont="1" applyFill="1" applyBorder="1" applyAlignment="1" applyProtection="1">
      <alignment horizontal="center" vertical="center" wrapText="1"/>
      <protection hidden="1"/>
    </xf>
    <xf numFmtId="0" fontId="8" fillId="9" borderId="58" xfId="2" applyFont="1" applyFill="1" applyBorder="1" applyAlignment="1" applyProtection="1">
      <alignment horizontal="center" vertical="center" wrapText="1"/>
      <protection hidden="1"/>
    </xf>
    <xf numFmtId="0" fontId="8" fillId="9" borderId="59" xfId="2" applyFont="1" applyFill="1" applyBorder="1" applyAlignment="1" applyProtection="1">
      <alignment horizontal="center" vertical="center" wrapText="1"/>
      <protection hidden="1"/>
    </xf>
    <xf numFmtId="49" fontId="6" fillId="3" borderId="53" xfId="2" applyNumberFormat="1" applyFont="1" applyFill="1" applyBorder="1" applyAlignment="1" applyProtection="1">
      <alignment horizontal="right" vertical="center" wrapText="1"/>
      <protection hidden="1"/>
    </xf>
    <xf numFmtId="49" fontId="11" fillId="3" borderId="32" xfId="2" applyNumberFormat="1" applyFont="1" applyFill="1" applyBorder="1" applyAlignment="1" applyProtection="1">
      <alignment horizontal="left" vertical="center" wrapText="1"/>
      <protection hidden="1"/>
    </xf>
    <xf numFmtId="49" fontId="6" fillId="10" borderId="54" xfId="2" applyNumberFormat="1" applyFont="1" applyFill="1" applyBorder="1" applyAlignment="1" applyProtection="1">
      <alignment horizontal="right" vertical="center" wrapText="1"/>
      <protection hidden="1"/>
    </xf>
    <xf numFmtId="49" fontId="6" fillId="10" borderId="42" xfId="2" applyNumberFormat="1" applyFont="1" applyFill="1" applyBorder="1" applyAlignment="1" applyProtection="1">
      <alignment horizontal="center" vertical="center" wrapText="1"/>
      <protection hidden="1"/>
    </xf>
    <xf numFmtId="49" fontId="6" fillId="3" borderId="54" xfId="2" applyNumberFormat="1" applyFont="1" applyFill="1" applyBorder="1" applyAlignment="1" applyProtection="1">
      <alignment horizontal="right" vertical="center" wrapText="1"/>
      <protection hidden="1"/>
    </xf>
    <xf numFmtId="49" fontId="6" fillId="3" borderId="42" xfId="2" applyNumberFormat="1" applyFont="1" applyFill="1" applyBorder="1" applyAlignment="1" applyProtection="1">
      <alignment horizontal="center" vertical="center" wrapText="1"/>
      <protection hidden="1"/>
    </xf>
    <xf numFmtId="49" fontId="6" fillId="7" borderId="55" xfId="0" applyNumberFormat="1" applyFont="1" applyFill="1" applyBorder="1" applyAlignment="1" applyProtection="1">
      <alignment horizontal="right" vertical="center" wrapText="1"/>
      <protection hidden="1"/>
    </xf>
    <xf numFmtId="49" fontId="6" fillId="7" borderId="56" xfId="0" applyNumberFormat="1" applyFont="1" applyFill="1" applyBorder="1" applyAlignment="1" applyProtection="1">
      <alignment horizontal="center" vertical="center" wrapText="1"/>
      <protection hidden="1"/>
    </xf>
    <xf numFmtId="49" fontId="6" fillId="10" borderId="13" xfId="2" applyNumberFormat="1" applyFont="1" applyFill="1" applyBorder="1" applyAlignment="1" applyProtection="1">
      <alignment horizontal="right" vertical="center" wrapText="1"/>
      <protection hidden="1"/>
    </xf>
    <xf numFmtId="49" fontId="6" fillId="3" borderId="13" xfId="2" applyNumberFormat="1" applyFont="1" applyFill="1" applyBorder="1" applyAlignment="1" applyProtection="1">
      <alignment horizontal="right" vertical="center" wrapText="1"/>
      <protection hidden="1"/>
    </xf>
    <xf numFmtId="49" fontId="6" fillId="7" borderId="13" xfId="0" applyNumberFormat="1" applyFont="1" applyFill="1" applyBorder="1" applyAlignment="1" applyProtection="1">
      <alignment horizontal="right" vertical="center" wrapText="1"/>
      <protection hidden="1"/>
    </xf>
    <xf numFmtId="49" fontId="6" fillId="7" borderId="28" xfId="2" applyNumberFormat="1" applyFont="1" applyFill="1" applyBorder="1" applyAlignment="1" applyProtection="1">
      <alignment horizontal="center" vertical="center" wrapText="1"/>
      <protection hidden="1"/>
    </xf>
    <xf numFmtId="49" fontId="2" fillId="0" borderId="25" xfId="0" applyNumberFormat="1" applyFont="1" applyBorder="1" applyAlignment="1" applyProtection="1">
      <alignment horizontal="center" vertical="center" wrapText="1"/>
      <protection hidden="1"/>
    </xf>
    <xf numFmtId="49" fontId="6" fillId="10" borderId="27" xfId="2" applyNumberFormat="1" applyFont="1" applyFill="1" applyBorder="1" applyAlignment="1" applyProtection="1">
      <alignment horizontal="right" vertical="center" wrapText="1"/>
      <protection hidden="1"/>
    </xf>
    <xf numFmtId="49" fontId="6" fillId="7" borderId="27" xfId="0" applyNumberFormat="1" applyFont="1" applyFill="1" applyBorder="1" applyAlignment="1" applyProtection="1">
      <alignment horizontal="right" vertical="center" wrapText="1"/>
      <protection hidden="1"/>
    </xf>
    <xf numFmtId="49" fontId="6" fillId="10" borderId="53" xfId="2" applyNumberFormat="1" applyFont="1" applyFill="1" applyBorder="1" applyAlignment="1" applyProtection="1">
      <alignment horizontal="right" vertical="center" wrapText="1"/>
      <protection hidden="1"/>
    </xf>
    <xf numFmtId="49" fontId="11" fillId="10" borderId="32" xfId="2" applyNumberFormat="1" applyFont="1" applyFill="1" applyBorder="1" applyAlignment="1" applyProtection="1">
      <alignment horizontal="left" vertical="center" wrapText="1"/>
      <protection hidden="1"/>
    </xf>
    <xf numFmtId="49" fontId="8" fillId="7" borderId="57" xfId="0" applyNumberFormat="1" applyFont="1" applyFill="1" applyBorder="1" applyAlignment="1" applyProtection="1">
      <alignment vertical="center" wrapText="1"/>
      <protection hidden="1"/>
    </xf>
    <xf numFmtId="0" fontId="8" fillId="7" borderId="32" xfId="2" applyFont="1" applyFill="1" applyBorder="1" applyAlignment="1" applyProtection="1">
      <alignment horizontal="left" vertical="center" wrapText="1"/>
      <protection hidden="1"/>
    </xf>
    <xf numFmtId="49" fontId="3" fillId="9" borderId="15" xfId="0" applyNumberFormat="1" applyFont="1" applyFill="1" applyBorder="1" applyAlignment="1" applyProtection="1">
      <alignment horizontal="center" vertical="center" wrapText="1"/>
      <protection locked="0"/>
    </xf>
    <xf numFmtId="0" fontId="8" fillId="9" borderId="13" xfId="2" applyFont="1" applyFill="1" applyBorder="1" applyAlignment="1" applyProtection="1">
      <alignment horizontal="left" vertical="center" wrapText="1"/>
      <protection hidden="1"/>
    </xf>
    <xf numFmtId="0" fontId="12" fillId="4" borderId="1" xfId="0" applyFont="1" applyFill="1" applyBorder="1" applyAlignment="1" applyProtection="1">
      <alignment horizontal="center" vertical="center" wrapText="1"/>
      <protection hidden="1"/>
    </xf>
    <xf numFmtId="0" fontId="8" fillId="0" borderId="11" xfId="2" applyFont="1" applyBorder="1" applyAlignment="1" applyProtection="1">
      <alignment horizontal="left" vertical="center" wrapText="1"/>
      <protection hidden="1"/>
    </xf>
    <xf numFmtId="0" fontId="6" fillId="12" borderId="52" xfId="2" applyFont="1" applyFill="1" applyBorder="1" applyAlignment="1" applyProtection="1">
      <alignment horizontal="left" vertical="center" wrapText="1"/>
      <protection hidden="1"/>
    </xf>
    <xf numFmtId="0" fontId="0" fillId="0" borderId="0" xfId="0" applyAlignment="1" applyProtection="1">
      <alignment horizontal="center" vertical="center"/>
      <protection hidden="1"/>
    </xf>
    <xf numFmtId="1" fontId="0" fillId="0" borderId="0" xfId="0" applyNumberFormat="1" applyAlignment="1" applyProtection="1">
      <alignment horizontal="center" vertical="center"/>
      <protection hidden="1"/>
    </xf>
    <xf numFmtId="0" fontId="8" fillId="9" borderId="14" xfId="2" applyFont="1" applyFill="1" applyBorder="1" applyAlignment="1" applyProtection="1">
      <alignment horizontal="left" vertical="center" wrapText="1"/>
      <protection hidden="1"/>
    </xf>
    <xf numFmtId="49" fontId="3" fillId="0" borderId="27" xfId="0" applyNumberFormat="1" applyFont="1" applyBorder="1" applyAlignment="1" applyProtection="1">
      <alignment horizontal="center" vertical="center"/>
      <protection locked="0"/>
    </xf>
    <xf numFmtId="49" fontId="3" fillId="0" borderId="13" xfId="0" applyNumberFormat="1" applyFont="1" applyBorder="1" applyAlignment="1" applyProtection="1">
      <alignment horizontal="left" vertical="center" wrapText="1" indent="1"/>
      <protection hidden="1"/>
    </xf>
    <xf numFmtId="49" fontId="3" fillId="0" borderId="11" xfId="0" applyNumberFormat="1" applyFont="1" applyBorder="1" applyAlignment="1" applyProtection="1">
      <alignment horizontal="left" vertical="center" wrapText="1" indent="1"/>
      <protection hidden="1"/>
    </xf>
    <xf numFmtId="49" fontId="3" fillId="18" borderId="7" xfId="0" applyNumberFormat="1" applyFont="1" applyFill="1" applyBorder="1" applyAlignment="1" applyProtection="1">
      <alignment horizontal="center" vertical="center"/>
      <protection locked="0"/>
    </xf>
    <xf numFmtId="49" fontId="3" fillId="0" borderId="39" xfId="0" applyNumberFormat="1" applyFont="1" applyBorder="1" applyAlignment="1" applyProtection="1">
      <alignment horizontal="center" vertical="center"/>
      <protection locked="0"/>
    </xf>
    <xf numFmtId="49" fontId="6" fillId="3" borderId="54" xfId="2" applyNumberFormat="1" applyFont="1" applyFill="1" applyBorder="1" applyAlignment="1" applyProtection="1">
      <alignment vertical="center" wrapText="1"/>
      <protection hidden="1"/>
    </xf>
    <xf numFmtId="49" fontId="6" fillId="7" borderId="55" xfId="0" applyNumberFormat="1" applyFont="1" applyFill="1" applyBorder="1" applyAlignment="1" applyProtection="1">
      <alignment vertical="center" wrapText="1"/>
      <protection hidden="1"/>
    </xf>
    <xf numFmtId="49" fontId="6" fillId="7" borderId="36" xfId="0" applyNumberFormat="1" applyFont="1" applyFill="1" applyBorder="1" applyAlignment="1" applyProtection="1">
      <alignment vertical="center" wrapText="1"/>
      <protection hidden="1"/>
    </xf>
    <xf numFmtId="49" fontId="6" fillId="3" borderId="0" xfId="2" applyNumberFormat="1" applyFont="1" applyFill="1" applyAlignment="1" applyProtection="1">
      <alignment vertical="center" wrapText="1"/>
      <protection hidden="1"/>
    </xf>
    <xf numFmtId="0" fontId="12" fillId="4" borderId="4" xfId="0" applyFont="1" applyFill="1" applyBorder="1" applyAlignment="1" applyProtection="1">
      <alignment horizontal="center" vertical="center" wrapText="1"/>
      <protection hidden="1"/>
    </xf>
    <xf numFmtId="49" fontId="6" fillId="7" borderId="54" xfId="0" applyNumberFormat="1" applyFont="1" applyFill="1" applyBorder="1" applyAlignment="1" applyProtection="1">
      <alignment vertical="center" wrapText="1"/>
      <protection hidden="1"/>
    </xf>
    <xf numFmtId="49" fontId="6" fillId="7" borderId="0" xfId="0" applyNumberFormat="1" applyFont="1" applyFill="1" applyAlignment="1" applyProtection="1">
      <alignment vertical="center" wrapText="1"/>
      <protection hidden="1"/>
    </xf>
    <xf numFmtId="49" fontId="3" fillId="18" borderId="28" xfId="0" applyNumberFormat="1" applyFont="1" applyFill="1" applyBorder="1" applyAlignment="1" applyProtection="1">
      <alignment horizontal="center" vertical="center" wrapText="1"/>
      <protection locked="0"/>
    </xf>
    <xf numFmtId="49" fontId="6" fillId="10" borderId="58" xfId="2" applyNumberFormat="1" applyFont="1" applyFill="1" applyBorder="1" applyAlignment="1" applyProtection="1">
      <alignment horizontal="right" vertical="center" wrapText="1"/>
      <protection hidden="1"/>
    </xf>
    <xf numFmtId="0" fontId="11" fillId="7" borderId="13" xfId="2" applyFont="1" applyFill="1" applyBorder="1" applyAlignment="1" applyProtection="1">
      <alignment horizontal="center" vertical="center" wrapText="1"/>
      <protection hidden="1"/>
    </xf>
    <xf numFmtId="49" fontId="11" fillId="3" borderId="13" xfId="2" applyNumberFormat="1" applyFont="1" applyFill="1" applyBorder="1" applyAlignment="1" applyProtection="1">
      <alignment horizontal="left" vertical="center" wrapText="1"/>
      <protection hidden="1"/>
    </xf>
    <xf numFmtId="49" fontId="13" fillId="16" borderId="52" xfId="2" applyNumberFormat="1" applyFont="1" applyFill="1" applyBorder="1" applyAlignment="1" applyProtection="1">
      <alignment horizontal="center" vertical="center" wrapText="1"/>
      <protection hidden="1"/>
    </xf>
    <xf numFmtId="0" fontId="8" fillId="9" borderId="61" xfId="2" applyFont="1" applyFill="1" applyBorder="1" applyAlignment="1" applyProtection="1">
      <alignment horizontal="left" vertical="center" wrapText="1"/>
      <protection hidden="1"/>
    </xf>
    <xf numFmtId="0" fontId="11" fillId="7" borderId="63" xfId="2" applyFont="1" applyFill="1" applyBorder="1" applyAlignment="1" applyProtection="1">
      <alignment horizontal="center" vertical="center" wrapText="1"/>
      <protection hidden="1"/>
    </xf>
    <xf numFmtId="0" fontId="8" fillId="9" borderId="9" xfId="2" applyFont="1" applyFill="1" applyBorder="1" applyAlignment="1" applyProtection="1">
      <alignment horizontal="left" vertical="center" wrapText="1"/>
      <protection hidden="1"/>
    </xf>
    <xf numFmtId="49" fontId="3" fillId="0" borderId="10" xfId="0" applyNumberFormat="1" applyFont="1" applyBorder="1" applyAlignment="1" applyProtection="1">
      <alignment horizontal="left" vertical="center" wrapText="1" indent="1"/>
      <protection hidden="1"/>
    </xf>
    <xf numFmtId="49" fontId="3" fillId="7" borderId="28" xfId="0" applyNumberFormat="1" applyFont="1" applyFill="1" applyBorder="1" applyAlignment="1" applyProtection="1">
      <alignment horizontal="center" vertical="center" wrapText="1"/>
      <protection hidden="1"/>
    </xf>
    <xf numFmtId="0" fontId="6" fillId="13" borderId="52" xfId="2" applyFont="1" applyFill="1" applyBorder="1" applyAlignment="1" applyProtection="1">
      <alignment horizontal="left" vertical="center" wrapText="1"/>
      <protection hidden="1"/>
    </xf>
    <xf numFmtId="0" fontId="6" fillId="13" borderId="52" xfId="2" applyFont="1" applyFill="1" applyBorder="1" applyAlignment="1" applyProtection="1">
      <alignment horizontal="center" vertical="center" wrapText="1"/>
      <protection hidden="1"/>
    </xf>
    <xf numFmtId="49" fontId="6" fillId="13" borderId="52" xfId="2" applyNumberFormat="1" applyFont="1" applyFill="1" applyBorder="1" applyAlignment="1" applyProtection="1">
      <alignment horizontal="center" vertical="center" wrapText="1"/>
      <protection hidden="1"/>
    </xf>
    <xf numFmtId="0" fontId="14" fillId="9" borderId="13" xfId="2" applyFont="1" applyFill="1" applyBorder="1" applyAlignment="1" applyProtection="1">
      <alignment horizontal="left" vertical="center" wrapText="1"/>
      <protection hidden="1"/>
    </xf>
    <xf numFmtId="0" fontId="11" fillId="7" borderId="13" xfId="2" applyFont="1" applyFill="1" applyBorder="1" applyAlignment="1" applyProtection="1">
      <alignment horizontal="left" vertical="center" wrapText="1"/>
      <protection hidden="1"/>
    </xf>
    <xf numFmtId="0" fontId="8" fillId="7" borderId="13" xfId="2" applyFont="1" applyFill="1" applyBorder="1" applyAlignment="1" applyProtection="1">
      <alignment horizontal="left" vertical="center" wrapText="1"/>
      <protection hidden="1"/>
    </xf>
    <xf numFmtId="0" fontId="8" fillId="7" borderId="13" xfId="2" applyFont="1" applyFill="1" applyBorder="1" applyAlignment="1" applyProtection="1">
      <alignment horizontal="center" vertical="center" wrapText="1"/>
      <protection hidden="1"/>
    </xf>
    <xf numFmtId="49" fontId="6" fillId="10" borderId="13" xfId="2" applyNumberFormat="1" applyFont="1" applyFill="1" applyBorder="1" applyAlignment="1" applyProtection="1">
      <alignment horizontal="center" vertical="center" wrapText="1"/>
      <protection hidden="1"/>
    </xf>
    <xf numFmtId="49" fontId="6" fillId="3" borderId="13" xfId="2" applyNumberFormat="1" applyFont="1" applyFill="1" applyBorder="1" applyAlignment="1" applyProtection="1">
      <alignment horizontal="center" vertical="center" wrapText="1"/>
      <protection hidden="1"/>
    </xf>
    <xf numFmtId="49" fontId="6" fillId="7" borderId="13" xfId="0" applyNumberFormat="1" applyFont="1" applyFill="1" applyBorder="1" applyAlignment="1" applyProtection="1">
      <alignment horizontal="center" vertical="center" wrapText="1"/>
      <protection hidden="1"/>
    </xf>
    <xf numFmtId="49" fontId="8" fillId="0" borderId="0" xfId="0" applyNumberFormat="1" applyFont="1" applyAlignment="1" applyProtection="1">
      <alignment horizontal="left" vertical="center"/>
      <protection hidden="1"/>
    </xf>
    <xf numFmtId="49" fontId="8" fillId="0" borderId="0" xfId="0" applyNumberFormat="1" applyFont="1" applyAlignment="1" applyProtection="1">
      <alignment horizontal="center" vertical="center"/>
      <protection hidden="1"/>
    </xf>
    <xf numFmtId="49" fontId="6" fillId="7" borderId="1" xfId="0" applyNumberFormat="1" applyFont="1" applyFill="1" applyBorder="1" applyAlignment="1" applyProtection="1">
      <alignment horizontal="center" vertical="center" wrapText="1"/>
      <protection hidden="1"/>
    </xf>
    <xf numFmtId="49" fontId="8" fillId="7" borderId="53" xfId="0" applyNumberFormat="1" applyFont="1" applyFill="1" applyBorder="1" applyAlignment="1" applyProtection="1">
      <alignment horizontal="left" vertical="center" wrapText="1"/>
      <protection hidden="1"/>
    </xf>
    <xf numFmtId="49" fontId="8" fillId="7" borderId="32" xfId="0" applyNumberFormat="1" applyFont="1" applyFill="1" applyBorder="1" applyAlignment="1" applyProtection="1">
      <alignment horizontal="left" vertical="center" wrapText="1"/>
      <protection hidden="1"/>
    </xf>
    <xf numFmtId="49" fontId="8" fillId="7" borderId="24" xfId="0" applyNumberFormat="1" applyFont="1" applyFill="1" applyBorder="1" applyAlignment="1" applyProtection="1">
      <alignment horizontal="center" vertical="center" wrapText="1"/>
      <protection hidden="1"/>
    </xf>
    <xf numFmtId="49" fontId="8" fillId="7" borderId="54" xfId="0" applyNumberFormat="1" applyFont="1" applyFill="1" applyBorder="1" applyAlignment="1" applyProtection="1">
      <alignment horizontal="left" vertical="center" wrapText="1"/>
      <protection hidden="1"/>
    </xf>
    <xf numFmtId="49" fontId="8" fillId="7" borderId="0" xfId="0" applyNumberFormat="1" applyFont="1" applyFill="1" applyAlignment="1" applyProtection="1">
      <alignment horizontal="left" vertical="center" wrapText="1"/>
      <protection hidden="1"/>
    </xf>
    <xf numFmtId="49" fontId="8" fillId="7" borderId="42" xfId="0" applyNumberFormat="1" applyFont="1" applyFill="1" applyBorder="1" applyAlignment="1" applyProtection="1">
      <alignment horizontal="center" vertical="center" wrapText="1"/>
      <protection hidden="1"/>
    </xf>
    <xf numFmtId="49" fontId="8" fillId="7" borderId="55" xfId="0" applyNumberFormat="1" applyFont="1" applyFill="1" applyBorder="1" applyAlignment="1" applyProtection="1">
      <alignment horizontal="left" vertical="center" wrapText="1"/>
      <protection hidden="1"/>
    </xf>
    <xf numFmtId="49" fontId="8" fillId="7" borderId="36" xfId="0" applyNumberFormat="1" applyFont="1" applyFill="1" applyBorder="1" applyAlignment="1" applyProtection="1">
      <alignment horizontal="left" vertical="center" wrapText="1"/>
      <protection hidden="1"/>
    </xf>
    <xf numFmtId="49" fontId="8" fillId="7" borderId="56" xfId="0" applyNumberFormat="1" applyFont="1" applyFill="1" applyBorder="1" applyAlignment="1" applyProtection="1">
      <alignment horizontal="center" vertical="center" wrapText="1"/>
      <protection hidden="1"/>
    </xf>
    <xf numFmtId="49" fontId="6" fillId="4" borderId="22" xfId="0" applyNumberFormat="1" applyFont="1" applyFill="1" applyBorder="1" applyAlignment="1" applyProtection="1">
      <alignment horizontal="center" vertical="center" wrapText="1"/>
      <protection hidden="1"/>
    </xf>
    <xf numFmtId="49" fontId="6" fillId="4" borderId="0" xfId="0" applyNumberFormat="1" applyFont="1" applyFill="1" applyAlignment="1" applyProtection="1">
      <alignment horizontal="center" vertical="center" wrapText="1"/>
      <protection hidden="1"/>
    </xf>
    <xf numFmtId="49" fontId="6" fillId="4" borderId="39" xfId="0" applyNumberFormat="1" applyFont="1" applyFill="1" applyBorder="1" applyAlignment="1" applyProtection="1">
      <alignment horizontal="center" vertical="center" wrapText="1"/>
      <protection hidden="1"/>
    </xf>
    <xf numFmtId="49" fontId="6" fillId="4" borderId="14" xfId="0" applyNumberFormat="1" applyFont="1" applyFill="1" applyBorder="1" applyAlignment="1" applyProtection="1">
      <alignment horizontal="center" vertical="center" wrapText="1"/>
      <protection hidden="1"/>
    </xf>
    <xf numFmtId="49" fontId="6" fillId="4" borderId="19" xfId="0" applyNumberFormat="1" applyFont="1" applyFill="1" applyBorder="1" applyAlignment="1" applyProtection="1">
      <alignment horizontal="center" vertical="center" wrapText="1"/>
      <protection hidden="1"/>
    </xf>
    <xf numFmtId="49" fontId="6" fillId="4" borderId="18" xfId="0" applyNumberFormat="1" applyFont="1" applyFill="1" applyBorder="1" applyAlignment="1" applyProtection="1">
      <alignment horizontal="center" vertical="center" wrapText="1"/>
      <protection hidden="1"/>
    </xf>
    <xf numFmtId="49" fontId="8" fillId="3" borderId="32" xfId="2" applyNumberFormat="1" applyFont="1" applyFill="1" applyBorder="1" applyAlignment="1" applyProtection="1">
      <alignment horizontal="left" vertical="center" wrapText="1"/>
      <protection hidden="1"/>
    </xf>
    <xf numFmtId="49" fontId="8" fillId="0" borderId="13" xfId="2" applyNumberFormat="1" applyFont="1" applyBorder="1" applyAlignment="1" applyProtection="1">
      <alignment horizontal="left" vertical="center" wrapText="1"/>
      <protection hidden="1"/>
    </xf>
    <xf numFmtId="49" fontId="6" fillId="4" borderId="13" xfId="0" applyNumberFormat="1" applyFont="1" applyFill="1" applyBorder="1" applyAlignment="1" applyProtection="1">
      <alignment horizontal="center" vertical="center" wrapText="1"/>
      <protection hidden="1"/>
    </xf>
    <xf numFmtId="49" fontId="8" fillId="10" borderId="32" xfId="2" applyNumberFormat="1" applyFont="1" applyFill="1" applyBorder="1" applyAlignment="1" applyProtection="1">
      <alignment horizontal="left" vertical="center" wrapText="1"/>
      <protection hidden="1"/>
    </xf>
    <xf numFmtId="49" fontId="8" fillId="0" borderId="12" xfId="2" applyNumberFormat="1" applyFont="1" applyBorder="1" applyAlignment="1" applyProtection="1">
      <alignment vertical="center" wrapText="1"/>
      <protection hidden="1"/>
    </xf>
    <xf numFmtId="49" fontId="6" fillId="11" borderId="5" xfId="0" applyNumberFormat="1" applyFont="1" applyFill="1" applyBorder="1" applyAlignment="1" applyProtection="1">
      <alignment horizontal="left" vertical="center" wrapText="1"/>
      <protection hidden="1"/>
    </xf>
    <xf numFmtId="49" fontId="6" fillId="11" borderId="23" xfId="0" applyNumberFormat="1" applyFont="1" applyFill="1" applyBorder="1" applyAlignment="1" applyProtection="1">
      <alignment horizontal="left" vertical="center" wrapText="1"/>
      <protection hidden="1"/>
    </xf>
    <xf numFmtId="49" fontId="6" fillId="11" borderId="23" xfId="0" applyNumberFormat="1" applyFont="1" applyFill="1" applyBorder="1" applyAlignment="1" applyProtection="1">
      <alignment horizontal="center" vertical="center" wrapText="1"/>
      <protection hidden="1"/>
    </xf>
    <xf numFmtId="49" fontId="8" fillId="0" borderId="13" xfId="0" applyNumberFormat="1" applyFont="1" applyBorder="1" applyAlignment="1" applyProtection="1">
      <alignment horizontal="left" vertical="center" wrapText="1"/>
      <protection hidden="1"/>
    </xf>
    <xf numFmtId="0" fontId="8" fillId="0" borderId="13" xfId="2" applyFont="1" applyBorder="1" applyAlignment="1" applyProtection="1">
      <alignment horizontal="left" vertical="center" wrapText="1"/>
      <protection hidden="1"/>
    </xf>
    <xf numFmtId="49" fontId="8" fillId="3" borderId="24" xfId="2" applyNumberFormat="1" applyFont="1" applyFill="1" applyBorder="1" applyAlignment="1" applyProtection="1">
      <alignment horizontal="center" vertical="center" wrapText="1"/>
      <protection hidden="1"/>
    </xf>
    <xf numFmtId="0" fontId="8" fillId="0" borderId="17" xfId="2" applyFont="1" applyBorder="1" applyAlignment="1" applyProtection="1">
      <alignment horizontal="left" vertical="center" wrapText="1"/>
      <protection hidden="1"/>
    </xf>
    <xf numFmtId="49" fontId="6" fillId="12" borderId="5" xfId="0" applyNumberFormat="1" applyFont="1" applyFill="1" applyBorder="1" applyAlignment="1" applyProtection="1">
      <alignment horizontal="left" vertical="center" wrapText="1"/>
      <protection hidden="1"/>
    </xf>
    <xf numFmtId="49" fontId="6" fillId="12" borderId="23" xfId="0" applyNumberFormat="1" applyFont="1" applyFill="1" applyBorder="1" applyAlignment="1" applyProtection="1">
      <alignment horizontal="left" vertical="center" wrapText="1"/>
      <protection hidden="1"/>
    </xf>
    <xf numFmtId="49" fontId="6" fillId="12" borderId="23" xfId="0" applyNumberFormat="1" applyFont="1" applyFill="1" applyBorder="1" applyAlignment="1" applyProtection="1">
      <alignment horizontal="center" vertical="center" wrapText="1"/>
      <protection hidden="1"/>
    </xf>
    <xf numFmtId="0" fontId="10" fillId="0" borderId="11" xfId="2" applyFont="1" applyBorder="1" applyAlignment="1" applyProtection="1">
      <alignment horizontal="left" vertical="center" wrapText="1"/>
      <protection hidden="1"/>
    </xf>
    <xf numFmtId="0" fontId="8" fillId="12" borderId="52" xfId="2" applyFont="1" applyFill="1" applyBorder="1" applyAlignment="1" applyProtection="1">
      <alignment horizontal="left" vertical="center" wrapText="1"/>
      <protection hidden="1"/>
    </xf>
    <xf numFmtId="0" fontId="8" fillId="12" borderId="52" xfId="2" applyFont="1" applyFill="1" applyBorder="1" applyAlignment="1" applyProtection="1">
      <alignment horizontal="center" vertical="center" wrapText="1"/>
      <protection hidden="1"/>
    </xf>
    <xf numFmtId="0" fontId="8" fillId="0" borderId="58" xfId="2" applyFont="1" applyBorder="1" applyAlignment="1" applyProtection="1">
      <alignment horizontal="left" vertical="center" wrapText="1"/>
      <protection hidden="1"/>
    </xf>
    <xf numFmtId="49" fontId="8" fillId="0" borderId="40" xfId="0" applyNumberFormat="1" applyFont="1" applyBorder="1" applyAlignment="1" applyProtection="1">
      <alignment horizontal="left" vertical="center" wrapText="1"/>
      <protection hidden="1"/>
    </xf>
    <xf numFmtId="49" fontId="8" fillId="24" borderId="0" xfId="0" applyNumberFormat="1" applyFont="1" applyFill="1" applyAlignment="1" applyProtection="1">
      <alignment horizontal="left" vertical="center" wrapText="1"/>
      <protection hidden="1"/>
    </xf>
    <xf numFmtId="49" fontId="6" fillId="15" borderId="5" xfId="0" applyNumberFormat="1" applyFont="1" applyFill="1" applyBorder="1" applyAlignment="1" applyProtection="1">
      <alignment horizontal="left" vertical="center" wrapText="1"/>
      <protection hidden="1"/>
    </xf>
    <xf numFmtId="49" fontId="6" fillId="15" borderId="23" xfId="0" applyNumberFormat="1" applyFont="1" applyFill="1" applyBorder="1" applyAlignment="1" applyProtection="1">
      <alignment horizontal="left" vertical="center" wrapText="1"/>
      <protection hidden="1"/>
    </xf>
    <xf numFmtId="49" fontId="6" fillId="15" borderId="23" xfId="0" applyNumberFormat="1" applyFont="1" applyFill="1" applyBorder="1" applyAlignment="1" applyProtection="1">
      <alignment horizontal="center" vertical="center" wrapText="1"/>
      <protection hidden="1"/>
    </xf>
    <xf numFmtId="49" fontId="6" fillId="16" borderId="6" xfId="0" applyNumberFormat="1" applyFont="1" applyFill="1" applyBorder="1" applyAlignment="1" applyProtection="1">
      <alignment horizontal="left" vertical="center" wrapText="1"/>
      <protection hidden="1"/>
    </xf>
    <xf numFmtId="49" fontId="6" fillId="16" borderId="52" xfId="0" applyNumberFormat="1" applyFont="1" applyFill="1" applyBorder="1" applyAlignment="1" applyProtection="1">
      <alignment horizontal="left" vertical="center" wrapText="1"/>
      <protection hidden="1"/>
    </xf>
    <xf numFmtId="49" fontId="6" fillId="16" borderId="52" xfId="0" applyNumberFormat="1" applyFont="1" applyFill="1" applyBorder="1" applyAlignment="1" applyProtection="1">
      <alignment horizontal="center" vertical="center" wrapText="1"/>
      <protection hidden="1"/>
    </xf>
    <xf numFmtId="49" fontId="8" fillId="0" borderId="9" xfId="0" applyNumberFormat="1" applyFont="1" applyBorder="1" applyAlignment="1" applyProtection="1">
      <alignment horizontal="left" vertical="center" wrapText="1"/>
      <protection hidden="1"/>
    </xf>
    <xf numFmtId="0" fontId="8" fillId="18" borderId="21" xfId="2" applyFont="1" applyFill="1" applyBorder="1" applyAlignment="1" applyProtection="1">
      <alignment horizontal="center" vertical="center" wrapText="1"/>
      <protection locked="0"/>
    </xf>
    <xf numFmtId="49" fontId="6" fillId="10" borderId="11" xfId="2" applyNumberFormat="1" applyFont="1" applyFill="1" applyBorder="1" applyAlignment="1" applyProtection="1">
      <alignment horizontal="right" vertical="center" wrapText="1"/>
      <protection hidden="1"/>
    </xf>
    <xf numFmtId="0" fontId="8" fillId="18" borderId="65" xfId="2" applyFont="1" applyFill="1" applyBorder="1" applyAlignment="1" applyProtection="1">
      <alignment horizontal="center" vertical="center" wrapText="1"/>
      <protection locked="0"/>
    </xf>
    <xf numFmtId="49" fontId="8" fillId="3" borderId="0" xfId="2" applyNumberFormat="1" applyFont="1" applyFill="1" applyAlignment="1" applyProtection="1">
      <alignment horizontal="left" vertical="center" wrapText="1"/>
      <protection hidden="1"/>
    </xf>
    <xf numFmtId="49" fontId="8" fillId="3" borderId="42" xfId="2" applyNumberFormat="1" applyFont="1" applyFill="1" applyBorder="1" applyAlignment="1" applyProtection="1">
      <alignment horizontal="center" vertical="center" wrapText="1"/>
      <protection hidden="1"/>
    </xf>
    <xf numFmtId="49" fontId="6" fillId="16" borderId="5" xfId="0" applyNumberFormat="1" applyFont="1" applyFill="1" applyBorder="1" applyAlignment="1" applyProtection="1">
      <alignment horizontal="left" vertical="center" wrapText="1"/>
      <protection hidden="1"/>
    </xf>
    <xf numFmtId="49" fontId="6" fillId="16" borderId="23" xfId="0" applyNumberFormat="1" applyFont="1" applyFill="1" applyBorder="1" applyAlignment="1" applyProtection="1">
      <alignment horizontal="left" vertical="center" wrapText="1"/>
      <protection hidden="1"/>
    </xf>
    <xf numFmtId="49" fontId="6" fillId="16" borderId="23" xfId="0" applyNumberFormat="1" applyFont="1" applyFill="1" applyBorder="1" applyAlignment="1" applyProtection="1">
      <alignment horizontal="center" vertical="center" wrapText="1"/>
      <protection hidden="1"/>
    </xf>
    <xf numFmtId="49" fontId="8" fillId="0" borderId="0" xfId="0" applyNumberFormat="1" applyFont="1" applyAlignment="1" applyProtection="1">
      <alignment horizontal="left" vertical="center" wrapText="1"/>
      <protection hidden="1"/>
    </xf>
    <xf numFmtId="0" fontId="6" fillId="14" borderId="5" xfId="0" applyFont="1" applyFill="1" applyBorder="1" applyAlignment="1" applyProtection="1">
      <alignment horizontal="left" vertical="center" wrapText="1"/>
      <protection hidden="1"/>
    </xf>
    <xf numFmtId="0" fontId="6" fillId="14" borderId="23" xfId="0" applyFont="1" applyFill="1" applyBorder="1" applyAlignment="1" applyProtection="1">
      <alignment horizontal="left" vertical="center" wrapText="1"/>
      <protection hidden="1"/>
    </xf>
    <xf numFmtId="0" fontId="6" fillId="14" borderId="23" xfId="0" applyFont="1" applyFill="1" applyBorder="1" applyAlignment="1" applyProtection="1">
      <alignment horizontal="center" vertical="center" wrapText="1"/>
      <protection hidden="1"/>
    </xf>
    <xf numFmtId="0" fontId="8" fillId="0" borderId="12"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8" fillId="7" borderId="19" xfId="0" applyFont="1" applyFill="1" applyBorder="1" applyAlignment="1" applyProtection="1">
      <alignment horizontal="left" vertical="center" wrapText="1"/>
      <protection hidden="1"/>
    </xf>
    <xf numFmtId="0" fontId="8" fillId="7" borderId="28" xfId="0" applyFont="1" applyFill="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hidden="1"/>
    </xf>
    <xf numFmtId="0" fontId="8" fillId="0" borderId="20" xfId="0" applyFont="1" applyBorder="1" applyAlignment="1" applyProtection="1">
      <alignment horizontal="left" vertical="center" wrapText="1"/>
      <protection hidden="1"/>
    </xf>
    <xf numFmtId="0" fontId="8" fillId="0" borderId="12" xfId="0" applyFont="1" applyBorder="1" applyAlignment="1" applyProtection="1">
      <alignment horizontal="left" vertical="center" wrapText="1" indent="2"/>
      <protection hidden="1"/>
    </xf>
    <xf numFmtId="0" fontId="8" fillId="0" borderId="11" xfId="0" applyFont="1" applyBorder="1" applyAlignment="1" applyProtection="1">
      <alignment horizontal="left" vertical="center" wrapText="1" indent="2"/>
      <protection hidden="1"/>
    </xf>
    <xf numFmtId="0" fontId="8" fillId="0" borderId="11" xfId="0" applyFont="1" applyBorder="1" applyAlignment="1" applyProtection="1">
      <alignment horizontal="left" vertical="center"/>
      <protection hidden="1"/>
    </xf>
    <xf numFmtId="0" fontId="8" fillId="7" borderId="19" xfId="0" applyFont="1" applyFill="1" applyBorder="1" applyAlignment="1" applyProtection="1">
      <alignment horizontal="left" vertical="center"/>
      <protection hidden="1"/>
    </xf>
    <xf numFmtId="0" fontId="8" fillId="7" borderId="32" xfId="0" applyFont="1" applyFill="1" applyBorder="1" applyAlignment="1" applyProtection="1">
      <alignment horizontal="left" vertical="center" wrapText="1"/>
      <protection hidden="1"/>
    </xf>
    <xf numFmtId="0" fontId="8" fillId="24" borderId="19" xfId="0" applyFont="1" applyFill="1" applyBorder="1" applyAlignment="1" applyProtection="1">
      <alignment horizontal="left" vertical="center" wrapText="1"/>
      <protection hidden="1"/>
    </xf>
    <xf numFmtId="1" fontId="3" fillId="18" borderId="28" xfId="0" applyNumberFormat="1" applyFont="1" applyFill="1" applyBorder="1" applyAlignment="1" applyProtection="1">
      <alignment horizontal="center" vertical="center"/>
      <protection locked="0"/>
    </xf>
    <xf numFmtId="49" fontId="3" fillId="0" borderId="28" xfId="0" applyNumberFormat="1" applyFont="1" applyBorder="1" applyAlignment="1" applyProtection="1">
      <alignment horizontal="center" vertical="center" wrapText="1"/>
      <protection locked="0"/>
    </xf>
    <xf numFmtId="0" fontId="8" fillId="0" borderId="13" xfId="0" applyFont="1" applyBorder="1" applyAlignment="1" applyProtection="1">
      <alignment horizontal="left" vertical="center" wrapText="1"/>
      <protection hidden="1"/>
    </xf>
    <xf numFmtId="49" fontId="6" fillId="7" borderId="13" xfId="2" applyNumberFormat="1" applyFont="1" applyFill="1" applyBorder="1" applyAlignment="1" applyProtection="1">
      <alignment horizontal="center" vertical="center" wrapText="1"/>
      <protection hidden="1"/>
    </xf>
    <xf numFmtId="0" fontId="10" fillId="0" borderId="13" xfId="0" applyFont="1" applyBorder="1" applyAlignment="1" applyProtection="1">
      <alignment horizontal="left" vertical="center" wrapText="1"/>
      <protection hidden="1"/>
    </xf>
    <xf numFmtId="0" fontId="8" fillId="0" borderId="13" xfId="0" applyFont="1" applyBorder="1" applyAlignment="1" applyProtection="1">
      <alignment horizontal="left" vertical="center" wrapText="1" indent="2"/>
      <protection hidden="1"/>
    </xf>
    <xf numFmtId="49" fontId="3" fillId="7" borderId="13" xfId="0" applyNumberFormat="1" applyFont="1" applyFill="1" applyBorder="1" applyAlignment="1" applyProtection="1">
      <alignment horizontal="center" vertical="center"/>
      <protection hidden="1"/>
    </xf>
    <xf numFmtId="0" fontId="8" fillId="0" borderId="13" xfId="0" applyFont="1" applyBorder="1" applyAlignment="1" applyProtection="1">
      <alignment horizontal="left" vertical="center"/>
      <protection hidden="1"/>
    </xf>
    <xf numFmtId="0" fontId="8" fillId="7" borderId="19" xfId="0" applyFont="1" applyFill="1" applyBorder="1" applyAlignment="1" applyProtection="1">
      <alignment horizontal="center" vertical="center" wrapText="1"/>
      <protection hidden="1"/>
    </xf>
    <xf numFmtId="0" fontId="8" fillId="7" borderId="19" xfId="0" applyFont="1" applyFill="1" applyBorder="1" applyAlignment="1" applyProtection="1">
      <alignment horizontal="center" vertical="center"/>
      <protection hidden="1"/>
    </xf>
    <xf numFmtId="0" fontId="8" fillId="7" borderId="32" xfId="0" applyFont="1" applyFill="1" applyBorder="1" applyAlignment="1" applyProtection="1">
      <alignment horizontal="center" vertical="center" wrapText="1"/>
      <protection hidden="1"/>
    </xf>
    <xf numFmtId="0" fontId="10" fillId="9" borderId="20" xfId="2" applyFont="1" applyFill="1" applyBorder="1" applyAlignment="1" applyProtection="1">
      <alignment horizontal="left" vertical="center" wrapText="1"/>
      <protection hidden="1"/>
    </xf>
    <xf numFmtId="49" fontId="3" fillId="0" borderId="0" xfId="0" applyNumberFormat="1" applyFont="1" applyAlignment="1" applyProtection="1">
      <alignment horizontal="left" vertical="center" wrapText="1"/>
      <protection locked="0"/>
    </xf>
    <xf numFmtId="49" fontId="3" fillId="18" borderId="12" xfId="0" applyNumberFormat="1" applyFont="1" applyFill="1" applyBorder="1" applyAlignment="1">
      <alignment horizontal="center" vertical="center" wrapText="1"/>
    </xf>
    <xf numFmtId="49" fontId="3" fillId="0" borderId="0" xfId="0" applyNumberFormat="1" applyFont="1" applyAlignment="1" applyProtection="1">
      <alignment horizontal="center" vertical="center"/>
      <protection locked="0" hidden="1"/>
    </xf>
    <xf numFmtId="49" fontId="8" fillId="0" borderId="0" xfId="0" applyNumberFormat="1" applyFont="1" applyAlignment="1" applyProtection="1">
      <alignment horizontal="left" vertical="center"/>
      <protection locked="0" hidden="1"/>
    </xf>
    <xf numFmtId="49" fontId="3" fillId="0" borderId="0" xfId="0" applyNumberFormat="1" applyFont="1" applyAlignment="1" applyProtection="1">
      <alignment horizontal="left" vertical="center"/>
      <protection locked="0" hidden="1"/>
    </xf>
    <xf numFmtId="49" fontId="3" fillId="0" borderId="0" xfId="0" applyNumberFormat="1" applyFont="1" applyAlignment="1" applyProtection="1">
      <alignment horizontal="left" vertical="top"/>
      <protection locked="0" hidden="1"/>
    </xf>
    <xf numFmtId="49" fontId="2" fillId="19" borderId="1" xfId="0" applyNumberFormat="1" applyFont="1" applyFill="1" applyBorder="1" applyAlignment="1" applyProtection="1">
      <alignment horizontal="center" vertical="center" wrapText="1"/>
      <protection locked="0" hidden="1"/>
    </xf>
    <xf numFmtId="0" fontId="5" fillId="19" borderId="1" xfId="2" applyFont="1" applyFill="1" applyBorder="1" applyAlignment="1" applyProtection="1">
      <alignment horizontal="center" vertical="center" wrapText="1"/>
      <protection locked="0" hidden="1"/>
    </xf>
    <xf numFmtId="49" fontId="3" fillId="0" borderId="3" xfId="0" applyNumberFormat="1" applyFont="1" applyBorder="1" applyAlignment="1" applyProtection="1">
      <alignment horizontal="center" vertical="center"/>
      <protection locked="0" hidden="1"/>
    </xf>
    <xf numFmtId="49" fontId="3" fillId="16" borderId="31" xfId="0" applyNumberFormat="1" applyFont="1" applyFill="1" applyBorder="1" applyAlignment="1" applyProtection="1">
      <alignment horizontal="center" vertical="center" wrapText="1"/>
      <protection locked="0" hidden="1"/>
    </xf>
    <xf numFmtId="49" fontId="3" fillId="0" borderId="0" xfId="0" applyNumberFormat="1" applyFont="1" applyAlignment="1" applyProtection="1">
      <alignment horizontal="left" vertical="center" wrapText="1"/>
      <protection locked="0" hidden="1"/>
    </xf>
    <xf numFmtId="49" fontId="3" fillId="0" borderId="7" xfId="0" applyNumberFormat="1" applyFont="1" applyBorder="1" applyAlignment="1" applyProtection="1">
      <alignment horizontal="left" vertical="center" wrapText="1"/>
      <protection locked="0" hidden="1"/>
    </xf>
    <xf numFmtId="0" fontId="7" fillId="0" borderId="6" xfId="2" applyFont="1" applyBorder="1" applyAlignment="1" applyProtection="1">
      <alignment horizontal="center" vertical="center" wrapText="1"/>
      <protection locked="0" hidden="1"/>
    </xf>
    <xf numFmtId="49" fontId="3" fillId="0" borderId="15" xfId="0" applyNumberFormat="1" applyFont="1" applyBorder="1" applyAlignment="1" applyProtection="1">
      <alignment horizontal="center" vertical="center" wrapText="1"/>
      <protection locked="0" hidden="1"/>
    </xf>
    <xf numFmtId="16" fontId="7" fillId="0" borderId="15" xfId="2" applyNumberFormat="1" applyFont="1" applyBorder="1" applyAlignment="1" applyProtection="1">
      <alignment horizontal="center" vertical="center" wrapText="1"/>
      <protection locked="0" hidden="1"/>
    </xf>
    <xf numFmtId="1" fontId="0" fillId="0" borderId="15" xfId="0" applyNumberFormat="1" applyBorder="1" applyAlignment="1" applyProtection="1">
      <alignment horizontal="center" vertical="center"/>
      <protection locked="0" hidden="1"/>
    </xf>
    <xf numFmtId="0" fontId="7" fillId="0" borderId="16" xfId="2" applyFont="1" applyBorder="1" applyAlignment="1" applyProtection="1">
      <alignment horizontal="center" vertical="center" wrapText="1"/>
      <protection locked="0" hidden="1"/>
    </xf>
    <xf numFmtId="49" fontId="3" fillId="0" borderId="15" xfId="0" applyNumberFormat="1" applyFont="1" applyBorder="1" applyAlignment="1" applyProtection="1">
      <alignment horizontal="left" vertical="center" wrapText="1"/>
      <protection locked="0" hidden="1"/>
    </xf>
    <xf numFmtId="0" fontId="7" fillId="0" borderId="15" xfId="2" applyFont="1" applyBorder="1" applyAlignment="1" applyProtection="1">
      <alignment horizontal="center" vertical="center" wrapText="1"/>
      <protection locked="0" hidden="1"/>
    </xf>
    <xf numFmtId="49" fontId="3" fillId="0" borderId="16" xfId="0" applyNumberFormat="1" applyFont="1" applyBorder="1" applyAlignment="1" applyProtection="1">
      <alignment horizontal="center" vertical="center" wrapText="1"/>
      <protection locked="0" hidden="1"/>
    </xf>
    <xf numFmtId="49" fontId="3" fillId="0" borderId="26" xfId="0" applyNumberFormat="1" applyFont="1" applyBorder="1" applyAlignment="1" applyProtection="1">
      <alignment horizontal="center" vertical="center" wrapText="1"/>
      <protection locked="0" hidden="1"/>
    </xf>
    <xf numFmtId="1" fontId="9" fillId="5" borderId="1" xfId="0" applyNumberFormat="1" applyFont="1" applyFill="1" applyBorder="1" applyAlignment="1" applyProtection="1">
      <alignment horizontal="center" vertical="center"/>
      <protection locked="0" hidden="1"/>
    </xf>
    <xf numFmtId="49" fontId="3" fillId="10" borderId="1" xfId="0" applyNumberFormat="1" applyFont="1" applyFill="1" applyBorder="1" applyAlignment="1" applyProtection="1">
      <alignment horizontal="left" vertical="center" wrapText="1" indent="1"/>
      <protection locked="0" hidden="1"/>
    </xf>
    <xf numFmtId="0" fontId="2" fillId="18" borderId="1" xfId="0" applyFont="1" applyFill="1" applyBorder="1" applyAlignment="1" applyProtection="1">
      <alignment horizontal="center" vertical="center" wrapText="1"/>
      <protection locked="0" hidden="1"/>
    </xf>
    <xf numFmtId="49" fontId="3" fillId="0" borderId="7" xfId="0" applyNumberFormat="1" applyFont="1" applyBorder="1" applyAlignment="1" applyProtection="1">
      <alignment horizontal="center" vertical="center" wrapText="1"/>
      <protection locked="0" hidden="1"/>
    </xf>
    <xf numFmtId="1" fontId="3" fillId="0" borderId="7" xfId="0" applyNumberFormat="1" applyFont="1" applyBorder="1" applyAlignment="1" applyProtection="1">
      <alignment horizontal="center" vertical="center" wrapText="1"/>
      <protection locked="0" hidden="1"/>
    </xf>
    <xf numFmtId="49" fontId="6" fillId="6" borderId="33" xfId="2" applyNumberFormat="1" applyFont="1" applyFill="1" applyBorder="1" applyAlignment="1" applyProtection="1">
      <alignment horizontal="center" vertical="center"/>
      <protection locked="0" hidden="1"/>
    </xf>
    <xf numFmtId="49" fontId="3" fillId="0" borderId="6" xfId="0" applyNumberFormat="1" applyFont="1" applyBorder="1" applyAlignment="1" applyProtection="1">
      <alignment horizontal="center" vertical="center" wrapText="1"/>
      <protection locked="0" hidden="1"/>
    </xf>
    <xf numFmtId="9" fontId="3" fillId="0" borderId="40" xfId="1" applyFont="1" applyFill="1" applyBorder="1" applyAlignment="1" applyProtection="1">
      <alignment horizontal="center" vertical="center" wrapText="1"/>
      <protection locked="0" hidden="1"/>
    </xf>
    <xf numFmtId="0" fontId="0" fillId="0" borderId="15" xfId="0" applyBorder="1" applyAlignment="1" applyProtection="1">
      <alignment horizontal="center" vertical="center"/>
      <protection locked="0" hidden="1"/>
    </xf>
    <xf numFmtId="49" fontId="3" fillId="6" borderId="31" xfId="0" applyNumberFormat="1" applyFont="1" applyFill="1" applyBorder="1" applyAlignment="1" applyProtection="1">
      <alignment horizontal="center" vertical="center" wrapText="1"/>
      <protection locked="0" hidden="1"/>
    </xf>
    <xf numFmtId="49" fontId="3" fillId="5" borderId="31" xfId="0" applyNumberFormat="1" applyFont="1" applyFill="1" applyBorder="1" applyAlignment="1" applyProtection="1">
      <alignment horizontal="center" vertical="center"/>
      <protection locked="0" hidden="1"/>
    </xf>
    <xf numFmtId="49" fontId="3" fillId="5" borderId="31" xfId="0" applyNumberFormat="1" applyFont="1" applyFill="1" applyBorder="1" applyAlignment="1" applyProtection="1">
      <alignment horizontal="center" vertical="center" wrapText="1"/>
      <protection locked="0" hidden="1"/>
    </xf>
    <xf numFmtId="49" fontId="3" fillId="11" borderId="31" xfId="0" applyNumberFormat="1" applyFont="1" applyFill="1" applyBorder="1" applyAlignment="1" applyProtection="1">
      <alignment horizontal="center" vertical="center" wrapText="1"/>
      <protection locked="0" hidden="1"/>
    </xf>
    <xf numFmtId="49" fontId="3" fillId="11" borderId="31" xfId="0" applyNumberFormat="1" applyFont="1" applyFill="1" applyBorder="1" applyAlignment="1" applyProtection="1">
      <alignment horizontal="center" vertical="center"/>
      <protection locked="0" hidden="1"/>
    </xf>
    <xf numFmtId="49" fontId="3" fillId="9" borderId="0" xfId="0" applyNumberFormat="1" applyFont="1" applyFill="1" applyAlignment="1" applyProtection="1">
      <alignment horizontal="left" vertical="center" wrapText="1"/>
      <protection locked="0" hidden="1"/>
    </xf>
    <xf numFmtId="49" fontId="3" fillId="9" borderId="6" xfId="0" applyNumberFormat="1" applyFont="1" applyFill="1" applyBorder="1" applyAlignment="1" applyProtection="1">
      <alignment horizontal="center" vertical="center" wrapText="1"/>
      <protection locked="0" hidden="1"/>
    </xf>
    <xf numFmtId="49" fontId="3" fillId="9" borderId="7" xfId="0" applyNumberFormat="1" applyFont="1" applyFill="1" applyBorder="1" applyAlignment="1" applyProtection="1">
      <alignment horizontal="left" vertical="center" wrapText="1"/>
      <protection locked="0" hidden="1"/>
    </xf>
    <xf numFmtId="49" fontId="3" fillId="9" borderId="16" xfId="0" applyNumberFormat="1" applyFont="1" applyFill="1" applyBorder="1" applyAlignment="1" applyProtection="1">
      <alignment horizontal="center" vertical="center" wrapText="1"/>
      <protection locked="0" hidden="1"/>
    </xf>
    <xf numFmtId="49" fontId="3" fillId="9" borderId="15" xfId="0" applyNumberFormat="1" applyFont="1" applyFill="1" applyBorder="1" applyAlignment="1" applyProtection="1">
      <alignment horizontal="left" vertical="center" wrapText="1"/>
      <protection locked="0" hidden="1"/>
    </xf>
    <xf numFmtId="49" fontId="3" fillId="17" borderId="31" xfId="0" applyNumberFormat="1" applyFont="1" applyFill="1" applyBorder="1" applyAlignment="1" applyProtection="1">
      <alignment horizontal="center" vertical="center" wrapText="1"/>
      <protection locked="0" hidden="1"/>
    </xf>
    <xf numFmtId="49" fontId="3" fillId="9" borderId="7" xfId="0" applyNumberFormat="1" applyFont="1" applyFill="1" applyBorder="1" applyAlignment="1" applyProtection="1">
      <alignment horizontal="center" vertical="center" wrapText="1"/>
      <protection locked="0" hidden="1"/>
    </xf>
    <xf numFmtId="49" fontId="3" fillId="9" borderId="15" xfId="0" applyNumberFormat="1" applyFont="1" applyFill="1" applyBorder="1" applyAlignment="1" applyProtection="1">
      <alignment horizontal="center" vertical="center" wrapText="1"/>
      <protection locked="0" hidden="1"/>
    </xf>
    <xf numFmtId="49" fontId="3" fillId="12" borderId="31" xfId="0" applyNumberFormat="1" applyFont="1" applyFill="1" applyBorder="1" applyAlignment="1" applyProtection="1">
      <alignment horizontal="center" vertical="center" wrapText="1"/>
      <protection locked="0" hidden="1"/>
    </xf>
    <xf numFmtId="49" fontId="12" fillId="0" borderId="0" xfId="0" applyNumberFormat="1" applyFont="1" applyAlignment="1" applyProtection="1">
      <alignment horizontal="left" vertical="center" wrapText="1"/>
      <protection locked="0" hidden="1"/>
    </xf>
    <xf numFmtId="49" fontId="3" fillId="0" borderId="26" xfId="0" applyNumberFormat="1" applyFont="1" applyBorder="1" applyAlignment="1" applyProtection="1">
      <alignment horizontal="center" vertical="center"/>
      <protection locked="0" hidden="1"/>
    </xf>
    <xf numFmtId="1" fontId="3" fillId="0" borderId="12" xfId="0" applyNumberFormat="1" applyFont="1" applyBorder="1" applyAlignment="1" applyProtection="1">
      <alignment horizontal="center" vertical="center"/>
      <protection locked="0" hidden="1"/>
    </xf>
    <xf numFmtId="49" fontId="3" fillId="13" borderId="31" xfId="0" applyNumberFormat="1" applyFont="1" applyFill="1" applyBorder="1" applyAlignment="1" applyProtection="1">
      <alignment horizontal="center" vertical="center" wrapText="1"/>
      <protection locked="0" hidden="1"/>
    </xf>
    <xf numFmtId="1" fontId="3" fillId="0" borderId="28" xfId="0" applyNumberFormat="1" applyFont="1" applyBorder="1" applyAlignment="1" applyProtection="1">
      <alignment horizontal="center" vertical="center"/>
      <protection locked="0" hidden="1"/>
    </xf>
    <xf numFmtId="1" fontId="3" fillId="10" borderId="1" xfId="0" applyNumberFormat="1" applyFont="1" applyFill="1" applyBorder="1" applyAlignment="1" applyProtection="1">
      <alignment horizontal="left" vertical="center" wrapText="1" indent="1"/>
      <protection locked="0" hidden="1"/>
    </xf>
    <xf numFmtId="9" fontId="3" fillId="0" borderId="12" xfId="1" applyFont="1" applyFill="1" applyBorder="1" applyAlignment="1" applyProtection="1">
      <alignment horizontal="center" vertical="center" wrapText="1"/>
      <protection locked="0" hidden="1"/>
    </xf>
    <xf numFmtId="49" fontId="3" fillId="7" borderId="15" xfId="0" applyNumberFormat="1" applyFont="1" applyFill="1" applyBorder="1" applyAlignment="1" applyProtection="1">
      <alignment horizontal="center" vertical="center" wrapText="1"/>
      <protection locked="0" hidden="1"/>
    </xf>
    <xf numFmtId="9" fontId="3" fillId="7" borderId="40" xfId="1" applyFont="1" applyFill="1" applyBorder="1" applyAlignment="1" applyProtection="1">
      <alignment horizontal="center" vertical="center" wrapText="1"/>
      <protection locked="0" hidden="1"/>
    </xf>
    <xf numFmtId="9" fontId="3" fillId="7" borderId="15" xfId="1" applyFont="1" applyFill="1" applyBorder="1" applyAlignment="1" applyProtection="1">
      <alignment horizontal="center" vertical="center" wrapText="1"/>
      <protection locked="0" hidden="1"/>
    </xf>
    <xf numFmtId="49" fontId="3" fillId="0" borderId="15" xfId="0" applyNumberFormat="1" applyFont="1" applyBorder="1" applyAlignment="1" applyProtection="1">
      <alignment horizontal="left" wrapText="1"/>
      <protection locked="0" hidden="1"/>
    </xf>
    <xf numFmtId="49" fontId="3" fillId="10" borderId="1" xfId="0" applyNumberFormat="1" applyFont="1" applyFill="1" applyBorder="1" applyAlignment="1" applyProtection="1">
      <alignment horizontal="left" wrapText="1" indent="1"/>
      <protection locked="0" hidden="1"/>
    </xf>
    <xf numFmtId="49" fontId="3" fillId="15" borderId="31" xfId="0" applyNumberFormat="1" applyFont="1" applyFill="1" applyBorder="1" applyAlignment="1" applyProtection="1">
      <alignment horizontal="center" vertical="center" wrapText="1"/>
      <protection locked="0" hidden="1"/>
    </xf>
    <xf numFmtId="9" fontId="3" fillId="0" borderId="29" xfId="1" applyFont="1" applyFill="1" applyBorder="1" applyAlignment="1" applyProtection="1">
      <alignment horizontal="center" vertical="center" wrapText="1"/>
      <protection locked="0" hidden="1"/>
    </xf>
    <xf numFmtId="49" fontId="3" fillId="0" borderId="29" xfId="1" applyNumberFormat="1" applyFont="1" applyFill="1" applyBorder="1" applyAlignment="1" applyProtection="1">
      <alignment horizontal="center" vertical="center" wrapText="1"/>
      <protection locked="0" hidden="1"/>
    </xf>
    <xf numFmtId="49" fontId="7" fillId="0" borderId="15" xfId="2" applyNumberFormat="1" applyFont="1" applyBorder="1" applyAlignment="1" applyProtection="1">
      <alignment horizontal="center" vertical="center" wrapText="1"/>
      <protection locked="0" hidden="1"/>
    </xf>
    <xf numFmtId="49" fontId="0" fillId="0" borderId="15" xfId="0" applyNumberFormat="1" applyBorder="1" applyAlignment="1" applyProtection="1">
      <alignment horizontal="center" vertical="center" wrapText="1"/>
      <protection locked="0" hidden="1"/>
    </xf>
    <xf numFmtId="9" fontId="3" fillId="0" borderId="28" xfId="1" applyFont="1" applyFill="1" applyBorder="1" applyAlignment="1" applyProtection="1">
      <alignment horizontal="center" vertical="center" wrapText="1"/>
      <protection locked="0" hidden="1"/>
    </xf>
    <xf numFmtId="49" fontId="3" fillId="0" borderId="52" xfId="0" applyNumberFormat="1" applyFont="1" applyBorder="1" applyAlignment="1" applyProtection="1">
      <alignment horizontal="center" vertical="center"/>
      <protection locked="0" hidden="1"/>
    </xf>
    <xf numFmtId="49" fontId="3" fillId="7" borderId="38" xfId="0" applyNumberFormat="1" applyFont="1" applyFill="1" applyBorder="1" applyAlignment="1" applyProtection="1">
      <alignment horizontal="center" vertical="center" wrapText="1"/>
      <protection locked="0" hidden="1"/>
    </xf>
    <xf numFmtId="49" fontId="3" fillId="14" borderId="31" xfId="0" applyNumberFormat="1" applyFont="1" applyFill="1" applyBorder="1" applyAlignment="1" applyProtection="1">
      <alignment horizontal="center" vertical="center"/>
      <protection locked="0" hidden="1"/>
    </xf>
    <xf numFmtId="49" fontId="3" fillId="0" borderId="7" xfId="0" applyNumberFormat="1" applyFont="1" applyBorder="1" applyAlignment="1" applyProtection="1">
      <alignment horizontal="center" vertical="center"/>
      <protection locked="0" hidden="1"/>
    </xf>
    <xf numFmtId="49" fontId="3" fillId="0" borderId="7" xfId="0" applyNumberFormat="1" applyFont="1" applyBorder="1" applyAlignment="1" applyProtection="1">
      <alignment horizontal="left" vertical="center"/>
      <protection locked="0" hidden="1"/>
    </xf>
    <xf numFmtId="49" fontId="3" fillId="0" borderId="15" xfId="0" applyNumberFormat="1" applyFont="1" applyBorder="1" applyAlignment="1" applyProtection="1">
      <alignment horizontal="center" vertical="center"/>
      <protection locked="0" hidden="1"/>
    </xf>
    <xf numFmtId="49" fontId="3" fillId="0" borderId="15" xfId="0" applyNumberFormat="1" applyFont="1" applyBorder="1" applyAlignment="1" applyProtection="1">
      <alignment horizontal="left" vertical="center"/>
      <protection locked="0" hidden="1"/>
    </xf>
    <xf numFmtId="1" fontId="3" fillId="0" borderId="27" xfId="0" applyNumberFormat="1" applyFont="1" applyBorder="1" applyAlignment="1" applyProtection="1">
      <alignment horizontal="center" vertical="center"/>
      <protection locked="0" hidden="1"/>
    </xf>
    <xf numFmtId="49" fontId="3" fillId="14" borderId="31" xfId="0" applyNumberFormat="1" applyFont="1" applyFill="1" applyBorder="1" applyAlignment="1" applyProtection="1">
      <alignment horizontal="center" vertical="center" wrapText="1"/>
      <protection locked="0" hidden="1"/>
    </xf>
    <xf numFmtId="0" fontId="8" fillId="24" borderId="19" xfId="0" applyFont="1" applyFill="1" applyBorder="1" applyAlignment="1" applyProtection="1">
      <alignment horizontal="center" vertical="center" wrapText="1"/>
      <protection locked="0" hidden="1"/>
    </xf>
    <xf numFmtId="0" fontId="8" fillId="7" borderId="28" xfId="0" applyFont="1" applyFill="1" applyBorder="1" applyAlignment="1" applyProtection="1">
      <alignment horizontal="center" vertical="center" wrapText="1"/>
      <protection locked="0" hidden="1"/>
    </xf>
    <xf numFmtId="49" fontId="3" fillId="7" borderId="12" xfId="0" applyNumberFormat="1" applyFont="1" applyFill="1" applyBorder="1" applyAlignment="1" applyProtection="1">
      <alignment horizontal="center" vertical="center"/>
      <protection locked="0" hidden="1"/>
    </xf>
    <xf numFmtId="0" fontId="3" fillId="0" borderId="0" xfId="0" applyFont="1" applyAlignment="1" applyProtection="1">
      <alignment horizontal="left" vertical="center"/>
      <protection locked="0" hidden="1"/>
    </xf>
    <xf numFmtId="49" fontId="3" fillId="0" borderId="0" xfId="0" applyNumberFormat="1" applyFont="1" applyAlignment="1" applyProtection="1">
      <alignment horizontal="center" vertical="center" wrapText="1"/>
      <protection locked="0" hidden="1"/>
    </xf>
    <xf numFmtId="49" fontId="8" fillId="3" borderId="13" xfId="2" applyNumberFormat="1" applyFont="1" applyFill="1" applyBorder="1" applyAlignment="1" applyProtection="1">
      <alignment horizontal="left" vertical="center" wrapText="1"/>
      <protection hidden="1"/>
    </xf>
    <xf numFmtId="49" fontId="8" fillId="0" borderId="9" xfId="0" applyNumberFormat="1" applyFont="1" applyBorder="1" applyAlignment="1">
      <alignment wrapText="1"/>
    </xf>
    <xf numFmtId="0" fontId="8" fillId="0" borderId="9" xfId="0" applyFont="1" applyBorder="1" applyAlignment="1">
      <alignment wrapText="1"/>
    </xf>
    <xf numFmtId="49" fontId="11" fillId="3" borderId="0" xfId="2" applyNumberFormat="1" applyFont="1" applyFill="1" applyAlignment="1" applyProtection="1">
      <alignment horizontal="left" vertical="center" wrapText="1"/>
      <protection hidden="1"/>
    </xf>
    <xf numFmtId="49" fontId="6" fillId="7" borderId="54" xfId="0" applyNumberFormat="1" applyFont="1" applyFill="1" applyBorder="1" applyAlignment="1" applyProtection="1">
      <alignment horizontal="right" vertical="center" wrapText="1"/>
      <protection hidden="1"/>
    </xf>
    <xf numFmtId="49" fontId="6" fillId="7" borderId="0" xfId="0" applyNumberFormat="1" applyFont="1" applyFill="1" applyAlignment="1" applyProtection="1">
      <alignment horizontal="right" vertical="center" wrapText="1"/>
      <protection hidden="1"/>
    </xf>
    <xf numFmtId="9" fontId="3" fillId="0" borderId="15" xfId="1" applyFont="1" applyFill="1" applyBorder="1" applyAlignment="1" applyProtection="1">
      <alignment horizontal="center" vertical="center" wrapText="1"/>
      <protection locked="0" hidden="1"/>
    </xf>
    <xf numFmtId="49" fontId="8" fillId="0" borderId="64" xfId="0" applyNumberFormat="1" applyFont="1" applyBorder="1" applyAlignment="1" applyProtection="1">
      <alignment horizontal="left" vertical="center" wrapText="1"/>
      <protection hidden="1"/>
    </xf>
    <xf numFmtId="0" fontId="8" fillId="0" borderId="0" xfId="0" applyFont="1" applyAlignment="1">
      <alignment wrapText="1"/>
    </xf>
    <xf numFmtId="0" fontId="8" fillId="0" borderId="11"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8" fillId="0" borderId="28" xfId="2" applyFont="1" applyBorder="1" applyAlignment="1" applyProtection="1">
      <alignment horizontal="center" vertical="center" wrapText="1"/>
      <protection hidden="1"/>
    </xf>
    <xf numFmtId="49" fontId="8" fillId="23" borderId="11" xfId="0" applyNumberFormat="1" applyFont="1" applyFill="1" applyBorder="1" applyAlignment="1" applyProtection="1">
      <alignment horizontal="center" vertical="center" wrapText="1"/>
      <protection hidden="1"/>
    </xf>
    <xf numFmtId="49" fontId="8" fillId="23" borderId="19" xfId="0" applyNumberFormat="1" applyFont="1" applyFill="1" applyBorder="1" applyAlignment="1" applyProtection="1">
      <alignment horizontal="center" vertical="center" wrapText="1"/>
      <protection hidden="1"/>
    </xf>
    <xf numFmtId="49" fontId="8" fillId="23" borderId="28" xfId="0" applyNumberFormat="1" applyFont="1" applyFill="1" applyBorder="1" applyAlignment="1" applyProtection="1">
      <alignment horizontal="center" vertical="center" wrapText="1"/>
      <protection hidden="1"/>
    </xf>
    <xf numFmtId="9" fontId="22" fillId="4" borderId="60" xfId="0" applyNumberFormat="1" applyFont="1" applyFill="1" applyBorder="1" applyAlignment="1" applyProtection="1">
      <alignment horizontal="center" vertical="center" wrapText="1"/>
      <protection hidden="1"/>
    </xf>
    <xf numFmtId="9" fontId="22" fillId="4" borderId="35" xfId="0" applyNumberFormat="1" applyFont="1" applyFill="1" applyBorder="1" applyAlignment="1" applyProtection="1">
      <alignment horizontal="center" vertical="center" wrapText="1"/>
      <protection hidden="1"/>
    </xf>
    <xf numFmtId="9" fontId="22" fillId="4" borderId="30" xfId="0" applyNumberFormat="1" applyFont="1" applyFill="1" applyBorder="1" applyAlignment="1" applyProtection="1">
      <alignment horizontal="center" vertical="center" wrapText="1"/>
      <protection hidden="1"/>
    </xf>
    <xf numFmtId="49" fontId="8" fillId="0" borderId="40" xfId="2" applyNumberFormat="1" applyFont="1" applyBorder="1" applyAlignment="1" applyProtection="1">
      <alignment horizontal="left" vertical="center" wrapText="1" indent="1"/>
      <protection hidden="1"/>
    </xf>
    <xf numFmtId="49" fontId="8" fillId="0" borderId="15" xfId="2" applyNumberFormat="1" applyFont="1" applyBorder="1" applyAlignment="1" applyProtection="1">
      <alignment horizontal="left" vertical="center" wrapText="1" indent="1"/>
      <protection hidden="1"/>
    </xf>
    <xf numFmtId="49" fontId="8" fillId="23" borderId="20" xfId="2" applyNumberFormat="1" applyFont="1" applyFill="1" applyBorder="1" applyAlignment="1" applyProtection="1">
      <alignment horizontal="center" vertical="center" wrapText="1"/>
      <protection hidden="1"/>
    </xf>
    <xf numFmtId="49" fontId="8" fillId="23" borderId="32" xfId="2" applyNumberFormat="1" applyFont="1" applyFill="1" applyBorder="1" applyAlignment="1" applyProtection="1">
      <alignment horizontal="center" vertical="center" wrapText="1"/>
      <protection hidden="1"/>
    </xf>
    <xf numFmtId="49" fontId="8" fillId="23" borderId="29" xfId="2" applyNumberFormat="1" applyFont="1" applyFill="1" applyBorder="1" applyAlignment="1" applyProtection="1">
      <alignment horizontal="center" vertical="center" wrapText="1"/>
      <protection hidden="1"/>
    </xf>
    <xf numFmtId="49" fontId="8" fillId="23" borderId="11" xfId="2" applyNumberFormat="1" applyFont="1" applyFill="1" applyBorder="1" applyAlignment="1" applyProtection="1">
      <alignment horizontal="center" vertical="center" wrapText="1"/>
      <protection hidden="1"/>
    </xf>
    <xf numFmtId="49" fontId="8" fillId="23" borderId="19" xfId="2" applyNumberFormat="1" applyFont="1" applyFill="1" applyBorder="1" applyAlignment="1" applyProtection="1">
      <alignment horizontal="center" vertical="center" wrapText="1"/>
      <protection hidden="1"/>
    </xf>
    <xf numFmtId="49" fontId="8" fillId="23" borderId="28" xfId="2" applyNumberFormat="1" applyFont="1" applyFill="1" applyBorder="1" applyAlignment="1" applyProtection="1">
      <alignment horizontal="center" vertical="center" wrapText="1"/>
      <protection hidden="1"/>
    </xf>
    <xf numFmtId="0" fontId="8" fillId="23" borderId="11" xfId="2" applyFont="1" applyFill="1" applyBorder="1" applyAlignment="1" applyProtection="1">
      <alignment horizontal="center" vertical="center" wrapText="1"/>
      <protection hidden="1"/>
    </xf>
    <xf numFmtId="0" fontId="8" fillId="23" borderId="19" xfId="2" applyFont="1" applyFill="1" applyBorder="1" applyAlignment="1" applyProtection="1">
      <alignment horizontal="center" vertical="center" wrapText="1"/>
      <protection hidden="1"/>
    </xf>
    <xf numFmtId="0" fontId="8" fillId="23" borderId="28" xfId="2" applyFont="1" applyFill="1" applyBorder="1" applyAlignment="1" applyProtection="1">
      <alignment horizontal="center" vertical="center" wrapText="1"/>
      <protection hidden="1"/>
    </xf>
    <xf numFmtId="49" fontId="8" fillId="0" borderId="29" xfId="2" applyNumberFormat="1" applyFont="1" applyBorder="1" applyAlignment="1" applyProtection="1">
      <alignment horizontal="left" vertical="center" wrapText="1" indent="1"/>
      <protection hidden="1"/>
    </xf>
    <xf numFmtId="49" fontId="8" fillId="0" borderId="37" xfId="2" applyNumberFormat="1" applyFont="1" applyBorder="1" applyAlignment="1" applyProtection="1">
      <alignment horizontal="left" vertical="center" wrapText="1" indent="1"/>
      <protection hidden="1"/>
    </xf>
    <xf numFmtId="49" fontId="3" fillId="7" borderId="15" xfId="0" applyNumberFormat="1" applyFont="1" applyFill="1" applyBorder="1" applyAlignment="1" applyProtection="1">
      <alignment horizontal="center" vertical="center" wrapText="1"/>
      <protection hidden="1"/>
    </xf>
    <xf numFmtId="49" fontId="3" fillId="7" borderId="38" xfId="0" applyNumberFormat="1" applyFont="1" applyFill="1" applyBorder="1" applyAlignment="1" applyProtection="1">
      <alignment horizontal="center" vertical="center" wrapText="1"/>
      <protection hidden="1"/>
    </xf>
    <xf numFmtId="0" fontId="8" fillId="0" borderId="29" xfId="2" applyFont="1" applyBorder="1" applyAlignment="1" applyProtection="1">
      <alignment horizontal="left" vertical="center" wrapText="1" indent="1"/>
      <protection hidden="1"/>
    </xf>
    <xf numFmtId="0" fontId="8" fillId="0" borderId="27" xfId="2" applyFont="1" applyBorder="1" applyAlignment="1" applyProtection="1">
      <alignment horizontal="left" vertical="center" wrapText="1" indent="1"/>
      <protection hidden="1"/>
    </xf>
    <xf numFmtId="0" fontId="8" fillId="0" borderId="37" xfId="2" applyFont="1" applyBorder="1" applyAlignment="1" applyProtection="1">
      <alignment horizontal="left" vertical="center" wrapText="1" indent="1"/>
      <protection hidden="1"/>
    </xf>
    <xf numFmtId="49" fontId="3" fillId="7" borderId="40" xfId="0" applyNumberFormat="1" applyFont="1" applyFill="1" applyBorder="1" applyAlignment="1" applyProtection="1">
      <alignment horizontal="center" vertical="center" wrapText="1"/>
      <protection hidden="1"/>
    </xf>
    <xf numFmtId="49" fontId="8" fillId="0" borderId="27" xfId="2" applyNumberFormat="1" applyFont="1" applyBorder="1" applyAlignment="1" applyProtection="1">
      <alignment horizontal="left" vertical="center" wrapText="1" indent="1"/>
      <protection hidden="1"/>
    </xf>
    <xf numFmtId="49" fontId="8" fillId="0" borderId="38" xfId="2" applyNumberFormat="1" applyFont="1" applyBorder="1" applyAlignment="1" applyProtection="1">
      <alignment horizontal="left" vertical="center" wrapText="1" indent="1"/>
      <protection hidden="1"/>
    </xf>
    <xf numFmtId="49" fontId="8" fillId="23" borderId="16" xfId="2" applyNumberFormat="1" applyFont="1" applyFill="1" applyBorder="1" applyAlignment="1" applyProtection="1">
      <alignment horizontal="center" vertical="center" wrapText="1"/>
      <protection hidden="1"/>
    </xf>
    <xf numFmtId="49" fontId="8" fillId="23" borderId="0" xfId="2" applyNumberFormat="1" applyFont="1" applyFill="1" applyAlignment="1" applyProtection="1">
      <alignment horizontal="center" vertical="center" wrapText="1"/>
      <protection hidden="1"/>
    </xf>
    <xf numFmtId="49" fontId="8" fillId="23" borderId="27" xfId="2" applyNumberFormat="1" applyFont="1" applyFill="1" applyBorder="1" applyAlignment="1" applyProtection="1">
      <alignment horizontal="center" vertical="center" wrapText="1"/>
      <protection hidden="1"/>
    </xf>
    <xf numFmtId="0" fontId="8" fillId="24" borderId="13" xfId="2" applyFont="1" applyFill="1" applyBorder="1" applyAlignment="1" applyProtection="1">
      <alignment horizontal="center" vertical="center" wrapText="1"/>
      <protection hidden="1"/>
    </xf>
    <xf numFmtId="0" fontId="8" fillId="24" borderId="21" xfId="2" applyFont="1" applyFill="1" applyBorder="1" applyAlignment="1" applyProtection="1">
      <alignment horizontal="center" vertical="center" wrapText="1"/>
      <protection hidden="1"/>
    </xf>
    <xf numFmtId="0" fontId="6" fillId="24" borderId="0" xfId="0" applyFont="1" applyFill="1" applyAlignment="1" applyProtection="1">
      <alignment horizontal="center" vertical="center" wrapText="1"/>
      <protection hidden="1"/>
    </xf>
    <xf numFmtId="0" fontId="6" fillId="24" borderId="36" xfId="0" applyFont="1" applyFill="1" applyBorder="1" applyAlignment="1" applyProtection="1">
      <alignment horizontal="center" vertical="center" wrapText="1"/>
      <protection hidden="1"/>
    </xf>
    <xf numFmtId="0" fontId="8" fillId="0" borderId="21" xfId="0" applyFont="1" applyBorder="1" applyAlignment="1" applyProtection="1">
      <alignment horizontal="center" vertical="center" wrapText="1"/>
      <protection hidden="1"/>
    </xf>
    <xf numFmtId="0" fontId="8" fillId="0" borderId="58" xfId="0" applyFont="1" applyBorder="1" applyAlignment="1" applyProtection="1">
      <alignment horizontal="center" vertical="center" wrapText="1"/>
      <protection hidden="1"/>
    </xf>
    <xf numFmtId="49" fontId="8" fillId="24" borderId="11" xfId="0" applyNumberFormat="1" applyFont="1" applyFill="1" applyBorder="1" applyAlignment="1" applyProtection="1">
      <alignment horizontal="center" vertical="center" wrapText="1"/>
      <protection hidden="1"/>
    </xf>
    <xf numFmtId="49" fontId="8" fillId="24" borderId="19" xfId="0" applyNumberFormat="1" applyFont="1" applyFill="1" applyBorder="1" applyAlignment="1" applyProtection="1">
      <alignment horizontal="center" vertical="center" wrapText="1"/>
      <protection hidden="1"/>
    </xf>
    <xf numFmtId="49" fontId="8" fillId="24" borderId="18" xfId="0" applyNumberFormat="1" applyFont="1" applyFill="1" applyBorder="1" applyAlignment="1" applyProtection="1">
      <alignment horizontal="center" vertical="center" wrapText="1"/>
      <protection hidden="1"/>
    </xf>
    <xf numFmtId="49" fontId="6" fillId="7" borderId="2" xfId="0" applyNumberFormat="1" applyFont="1" applyFill="1" applyBorder="1" applyAlignment="1" applyProtection="1">
      <alignment horizontal="center" vertical="center" wrapText="1"/>
      <protection hidden="1"/>
    </xf>
    <xf numFmtId="49" fontId="6" fillId="7" borderId="3" xfId="0" applyNumberFormat="1" applyFont="1" applyFill="1" applyBorder="1" applyAlignment="1" applyProtection="1">
      <alignment horizontal="center" vertical="center" wrapText="1"/>
      <protection hidden="1"/>
    </xf>
    <xf numFmtId="49" fontId="6" fillId="7" borderId="4" xfId="0" applyNumberFormat="1" applyFont="1" applyFill="1" applyBorder="1" applyAlignment="1" applyProtection="1">
      <alignment horizontal="center" vertical="center" wrapText="1"/>
      <protection hidden="1"/>
    </xf>
    <xf numFmtId="49" fontId="8" fillId="23" borderId="53" xfId="0" applyNumberFormat="1" applyFont="1" applyFill="1" applyBorder="1" applyAlignment="1" applyProtection="1">
      <alignment horizontal="center" vertical="center" wrapText="1"/>
      <protection hidden="1"/>
    </xf>
    <xf numFmtId="49" fontId="8" fillId="23" borderId="32" xfId="0" applyNumberFormat="1" applyFont="1" applyFill="1" applyBorder="1" applyAlignment="1" applyProtection="1">
      <alignment horizontal="center" vertical="center" wrapText="1"/>
      <protection hidden="1"/>
    </xf>
    <xf numFmtId="49" fontId="8" fillId="23" borderId="24" xfId="0" applyNumberFormat="1" applyFont="1" applyFill="1" applyBorder="1" applyAlignment="1" applyProtection="1">
      <alignment horizontal="center" vertical="center" wrapText="1"/>
      <protection hidden="1"/>
    </xf>
    <xf numFmtId="49" fontId="8" fillId="23" borderId="54" xfId="0" applyNumberFormat="1" applyFont="1" applyFill="1" applyBorder="1" applyAlignment="1" applyProtection="1">
      <alignment horizontal="center" vertical="center" wrapText="1"/>
      <protection hidden="1"/>
    </xf>
    <xf numFmtId="49" fontId="8" fillId="23" borderId="0" xfId="0" applyNumberFormat="1" applyFont="1" applyFill="1" applyAlignment="1" applyProtection="1">
      <alignment horizontal="center" vertical="center" wrapText="1"/>
      <protection hidden="1"/>
    </xf>
    <xf numFmtId="49" fontId="8" fillId="23" borderId="42" xfId="0" applyNumberFormat="1" applyFont="1" applyFill="1" applyBorder="1" applyAlignment="1" applyProtection="1">
      <alignment horizontal="center" vertical="center" wrapText="1"/>
      <protection hidden="1"/>
    </xf>
    <xf numFmtId="49" fontId="8" fillId="23" borderId="55" xfId="0" applyNumberFormat="1" applyFont="1" applyFill="1" applyBorder="1" applyAlignment="1" applyProtection="1">
      <alignment horizontal="center" vertical="center" wrapText="1"/>
      <protection hidden="1"/>
    </xf>
    <xf numFmtId="49" fontId="8" fillId="23" borderId="36" xfId="0" applyNumberFormat="1" applyFont="1" applyFill="1" applyBorder="1" applyAlignment="1" applyProtection="1">
      <alignment horizontal="center" vertical="center" wrapText="1"/>
      <protection hidden="1"/>
    </xf>
    <xf numFmtId="49" fontId="8" fillId="23" borderId="56" xfId="0" applyNumberFormat="1" applyFont="1" applyFill="1" applyBorder="1" applyAlignment="1" applyProtection="1">
      <alignment horizontal="center" vertical="center" wrapText="1"/>
      <protection hidden="1"/>
    </xf>
    <xf numFmtId="49" fontId="6" fillId="4" borderId="25" xfId="0" applyNumberFormat="1" applyFont="1" applyFill="1" applyBorder="1" applyAlignment="1" applyProtection="1">
      <alignment horizontal="center" vertical="center" wrapText="1"/>
      <protection hidden="1"/>
    </xf>
    <xf numFmtId="49" fontId="6" fillId="4" borderId="43" xfId="0" applyNumberFormat="1" applyFont="1" applyFill="1" applyBorder="1" applyAlignment="1" applyProtection="1">
      <alignment horizontal="center" vertical="center" wrapText="1"/>
      <protection hidden="1"/>
    </xf>
    <xf numFmtId="49" fontId="6" fillId="4" borderId="44" xfId="0" applyNumberFormat="1" applyFont="1" applyFill="1" applyBorder="1" applyAlignment="1" applyProtection="1">
      <alignment horizontal="center" vertical="center" wrapText="1"/>
      <protection hidden="1"/>
    </xf>
    <xf numFmtId="49" fontId="6" fillId="4" borderId="22" xfId="0" applyNumberFormat="1" applyFont="1" applyFill="1" applyBorder="1" applyAlignment="1" applyProtection="1">
      <alignment horizontal="center" vertical="center" wrapText="1"/>
      <protection hidden="1"/>
    </xf>
    <xf numFmtId="49" fontId="6" fillId="4" borderId="35" xfId="0" applyNumberFormat="1" applyFont="1" applyFill="1" applyBorder="1" applyAlignment="1" applyProtection="1">
      <alignment horizontal="center" vertical="center" wrapText="1"/>
      <protection hidden="1"/>
    </xf>
    <xf numFmtId="49" fontId="6" fillId="4" borderId="30" xfId="0" applyNumberFormat="1" applyFont="1" applyFill="1" applyBorder="1" applyAlignment="1" applyProtection="1">
      <alignment horizontal="center" vertical="center" wrapText="1"/>
      <protection hidden="1"/>
    </xf>
    <xf numFmtId="49" fontId="8" fillId="7" borderId="13" xfId="0" applyNumberFormat="1" applyFont="1" applyFill="1" applyBorder="1" applyAlignment="1" applyProtection="1">
      <alignment horizontal="center" vertical="center" wrapText="1"/>
      <protection hidden="1"/>
    </xf>
    <xf numFmtId="0" fontId="8" fillId="0" borderId="13" xfId="2" applyFont="1" applyBorder="1" applyAlignment="1" applyProtection="1">
      <alignment horizontal="center" vertical="center" wrapText="1"/>
      <protection hidden="1"/>
    </xf>
    <xf numFmtId="9" fontId="22" fillId="4" borderId="67" xfId="0" applyNumberFormat="1" applyFont="1" applyFill="1" applyBorder="1" applyAlignment="1" applyProtection="1">
      <alignment horizontal="center" vertical="center" wrapText="1"/>
      <protection hidden="1"/>
    </xf>
    <xf numFmtId="9" fontId="22" fillId="4" borderId="43" xfId="0" applyNumberFormat="1" applyFont="1" applyFill="1" applyBorder="1" applyAlignment="1" applyProtection="1">
      <alignment horizontal="center" vertical="center" wrapText="1"/>
      <protection hidden="1"/>
    </xf>
    <xf numFmtId="9" fontId="22" fillId="4" borderId="44" xfId="0" applyNumberFormat="1" applyFont="1" applyFill="1" applyBorder="1" applyAlignment="1" applyProtection="1">
      <alignment horizontal="center" vertical="center" wrapText="1"/>
      <protection hidden="1"/>
    </xf>
    <xf numFmtId="0" fontId="8" fillId="9" borderId="11" xfId="2" applyFont="1" applyFill="1" applyBorder="1" applyAlignment="1" applyProtection="1">
      <alignment horizontal="center" vertical="center" wrapText="1"/>
      <protection hidden="1"/>
    </xf>
    <xf numFmtId="0" fontId="8" fillId="9" borderId="19" xfId="2" applyFont="1" applyFill="1" applyBorder="1" applyAlignment="1" applyProtection="1">
      <alignment horizontal="center" vertical="center" wrapText="1"/>
      <protection hidden="1"/>
    </xf>
    <xf numFmtId="0" fontId="8" fillId="9" borderId="28" xfId="2" applyFont="1" applyFill="1" applyBorder="1" applyAlignment="1" applyProtection="1">
      <alignment horizontal="center" vertical="center" wrapText="1"/>
      <protection hidden="1"/>
    </xf>
    <xf numFmtId="0" fontId="8" fillId="3" borderId="20" xfId="2" applyFont="1" applyFill="1" applyBorder="1" applyAlignment="1" applyProtection="1">
      <alignment horizontal="center" vertical="center" wrapText="1"/>
      <protection hidden="1"/>
    </xf>
    <xf numFmtId="0" fontId="8" fillId="3" borderId="32" xfId="2" applyFont="1" applyFill="1" applyBorder="1" applyAlignment="1" applyProtection="1">
      <alignment horizontal="center" vertical="center" wrapText="1"/>
      <protection hidden="1"/>
    </xf>
    <xf numFmtId="0" fontId="8" fillId="3" borderId="29" xfId="2" applyFont="1" applyFill="1" applyBorder="1" applyAlignment="1" applyProtection="1">
      <alignment horizontal="center" vertical="center" wrapText="1"/>
      <protection hidden="1"/>
    </xf>
    <xf numFmtId="0" fontId="8" fillId="3" borderId="17" xfId="2" applyFont="1" applyFill="1" applyBorder="1" applyAlignment="1" applyProtection="1">
      <alignment horizontal="center" vertical="center" wrapText="1"/>
      <protection hidden="1"/>
    </xf>
    <xf numFmtId="0" fontId="8" fillId="3" borderId="36" xfId="2" applyFont="1" applyFill="1" applyBorder="1" applyAlignment="1" applyProtection="1">
      <alignment horizontal="center" vertical="center" wrapText="1"/>
      <protection hidden="1"/>
    </xf>
    <xf numFmtId="0" fontId="8" fillId="3" borderId="37" xfId="2" applyFont="1" applyFill="1" applyBorder="1" applyAlignment="1" applyProtection="1">
      <alignment horizontal="center" vertical="center" wrapText="1"/>
      <protection hidden="1"/>
    </xf>
    <xf numFmtId="0" fontId="8" fillId="0" borderId="15" xfId="0" applyFont="1" applyBorder="1" applyAlignment="1" applyProtection="1">
      <alignment horizontal="left" vertical="center" wrapText="1"/>
      <protection hidden="1"/>
    </xf>
    <xf numFmtId="0" fontId="8" fillId="0" borderId="38" xfId="0" applyFont="1" applyBorder="1" applyAlignment="1" applyProtection="1">
      <alignment horizontal="left" vertical="center" wrapText="1"/>
      <protection hidden="1"/>
    </xf>
    <xf numFmtId="0" fontId="8" fillId="0" borderId="19" xfId="2" applyFont="1" applyBorder="1" applyAlignment="1" applyProtection="1">
      <alignment horizontal="left" vertical="center" wrapText="1"/>
      <protection hidden="1"/>
    </xf>
    <xf numFmtId="0" fontId="8" fillId="9" borderId="40" xfId="2" applyFont="1" applyFill="1" applyBorder="1" applyAlignment="1" applyProtection="1">
      <alignment horizontal="left" vertical="center" wrapText="1"/>
      <protection hidden="1"/>
    </xf>
    <xf numFmtId="0" fontId="8" fillId="9" borderId="38" xfId="2" applyFont="1" applyFill="1" applyBorder="1" applyAlignment="1" applyProtection="1">
      <alignment horizontal="left" vertical="center" wrapText="1"/>
      <protection hidden="1"/>
    </xf>
    <xf numFmtId="0" fontId="8" fillId="0" borderId="40" xfId="0" applyFont="1" applyBorder="1" applyAlignment="1" applyProtection="1">
      <alignment horizontal="left" vertical="center" wrapText="1"/>
      <protection hidden="1"/>
    </xf>
    <xf numFmtId="0" fontId="8" fillId="0" borderId="20" xfId="0" applyFont="1" applyBorder="1" applyAlignment="1" applyProtection="1">
      <alignment horizontal="left" vertical="center" wrapText="1"/>
      <protection hidden="1"/>
    </xf>
    <xf numFmtId="0" fontId="8" fillId="0" borderId="17" xfId="0" applyFont="1" applyBorder="1" applyAlignment="1" applyProtection="1">
      <alignment horizontal="left" vertical="center" wrapText="1"/>
      <protection hidden="1"/>
    </xf>
    <xf numFmtId="49" fontId="8" fillId="24" borderId="20" xfId="0" applyNumberFormat="1" applyFont="1" applyFill="1" applyBorder="1" applyAlignment="1" applyProtection="1">
      <alignment horizontal="center" vertical="center" wrapText="1"/>
      <protection hidden="1"/>
    </xf>
    <xf numFmtId="49" fontId="8" fillId="24" borderId="32" xfId="0" applyNumberFormat="1" applyFont="1" applyFill="1" applyBorder="1" applyAlignment="1" applyProtection="1">
      <alignment horizontal="center" vertical="center" wrapText="1"/>
      <protection hidden="1"/>
    </xf>
    <xf numFmtId="49" fontId="8" fillId="24" borderId="24" xfId="0" applyNumberFormat="1" applyFont="1" applyFill="1" applyBorder="1" applyAlignment="1" applyProtection="1">
      <alignment horizontal="center" vertical="center" wrapText="1"/>
      <protection hidden="1"/>
    </xf>
    <xf numFmtId="0" fontId="8" fillId="24" borderId="11" xfId="2" applyFont="1" applyFill="1" applyBorder="1" applyAlignment="1" applyProtection="1">
      <alignment horizontal="center" vertical="center" wrapText="1"/>
      <protection hidden="1"/>
    </xf>
    <xf numFmtId="0" fontId="8" fillId="24" borderId="19" xfId="2" applyFont="1" applyFill="1" applyBorder="1" applyAlignment="1" applyProtection="1">
      <alignment horizontal="center" vertical="center" wrapText="1"/>
      <protection hidden="1"/>
    </xf>
    <xf numFmtId="0" fontId="8" fillId="24" borderId="28" xfId="2" applyFont="1" applyFill="1" applyBorder="1" applyAlignment="1" applyProtection="1">
      <alignment horizontal="center" vertical="center" wrapText="1"/>
      <protection hidden="1"/>
    </xf>
    <xf numFmtId="0" fontId="8" fillId="24" borderId="58" xfId="2" applyFont="1" applyFill="1" applyBorder="1" applyAlignment="1" applyProtection="1">
      <alignment horizontal="center" vertical="center" wrapText="1"/>
      <protection hidden="1"/>
    </xf>
    <xf numFmtId="0" fontId="8" fillId="24" borderId="65" xfId="2" applyFont="1" applyFill="1" applyBorder="1" applyAlignment="1" applyProtection="1">
      <alignment horizontal="center" vertical="center" wrapText="1"/>
      <protection hidden="1"/>
    </xf>
    <xf numFmtId="0" fontId="8" fillId="23" borderId="13" xfId="2" applyFont="1" applyFill="1" applyBorder="1" applyAlignment="1" applyProtection="1">
      <alignment horizontal="center" vertical="center" wrapText="1"/>
      <protection hidden="1"/>
    </xf>
    <xf numFmtId="0" fontId="8" fillId="0" borderId="55" xfId="2" applyFont="1" applyBorder="1" applyAlignment="1" applyProtection="1">
      <alignment horizontal="center" vertical="center" wrapText="1"/>
      <protection hidden="1"/>
    </xf>
    <xf numFmtId="0" fontId="8" fillId="0" borderId="36" xfId="2" applyFont="1" applyBorder="1" applyAlignment="1" applyProtection="1">
      <alignment horizontal="center" vertical="center" wrapText="1"/>
      <protection hidden="1"/>
    </xf>
    <xf numFmtId="0" fontId="8" fillId="0" borderId="56" xfId="2" applyFont="1" applyBorder="1" applyAlignment="1" applyProtection="1">
      <alignment horizontal="center" vertical="center" wrapText="1"/>
      <protection hidden="1"/>
    </xf>
    <xf numFmtId="49" fontId="3" fillId="0" borderId="13" xfId="0" applyNumberFormat="1" applyFont="1" applyBorder="1" applyAlignment="1" applyProtection="1">
      <alignment horizontal="left" vertical="center" wrapText="1" indent="1"/>
      <protection hidden="1"/>
    </xf>
    <xf numFmtId="0" fontId="8" fillId="7" borderId="32" xfId="2" applyFont="1" applyFill="1" applyBorder="1" applyAlignment="1" applyProtection="1">
      <alignment horizontal="left" vertical="center" wrapText="1"/>
      <protection hidden="1"/>
    </xf>
    <xf numFmtId="0" fontId="8" fillId="7" borderId="36" xfId="2" applyFont="1" applyFill="1" applyBorder="1" applyAlignment="1" applyProtection="1">
      <alignment horizontal="left" vertical="center" wrapText="1"/>
      <protection hidden="1"/>
    </xf>
    <xf numFmtId="49" fontId="8" fillId="0" borderId="10" xfId="2" applyNumberFormat="1" applyFont="1" applyBorder="1" applyAlignment="1" applyProtection="1">
      <alignment horizontal="left" vertical="center" wrapText="1" indent="1"/>
      <protection hidden="1"/>
    </xf>
    <xf numFmtId="49" fontId="8" fillId="0" borderId="34" xfId="2" applyNumberFormat="1" applyFont="1" applyBorder="1" applyAlignment="1" applyProtection="1">
      <alignment horizontal="left" vertical="center" wrapText="1" indent="1"/>
      <protection hidden="1"/>
    </xf>
    <xf numFmtId="49" fontId="3" fillId="7" borderId="29" xfId="0" applyNumberFormat="1" applyFont="1" applyFill="1" applyBorder="1" applyAlignment="1" applyProtection="1">
      <alignment horizontal="center" vertical="center" wrapText="1"/>
      <protection hidden="1"/>
    </xf>
    <xf numFmtId="49" fontId="3" fillId="7" borderId="27" xfId="0" applyNumberFormat="1" applyFont="1" applyFill="1" applyBorder="1" applyAlignment="1" applyProtection="1">
      <alignment horizontal="center" vertical="center" wrapText="1"/>
      <protection hidden="1"/>
    </xf>
    <xf numFmtId="49" fontId="3" fillId="7" borderId="37" xfId="0" applyNumberFormat="1" applyFont="1" applyFill="1" applyBorder="1" applyAlignment="1" applyProtection="1">
      <alignment horizontal="center" vertical="center" wrapText="1"/>
      <protection hidden="1"/>
    </xf>
    <xf numFmtId="0" fontId="8" fillId="0" borderId="13" xfId="2" applyFont="1" applyBorder="1" applyAlignment="1" applyProtection="1">
      <alignment horizontal="left" vertical="center" wrapText="1" indent="1"/>
      <protection hidden="1"/>
    </xf>
    <xf numFmtId="49" fontId="8" fillId="0" borderId="13" xfId="2" applyNumberFormat="1" applyFont="1" applyBorder="1" applyAlignment="1" applyProtection="1">
      <alignment horizontal="left" vertical="center" wrapText="1" indent="1"/>
      <protection hidden="1"/>
    </xf>
    <xf numFmtId="0" fontId="8" fillId="0" borderId="62" xfId="2" applyFont="1" applyBorder="1" applyAlignment="1" applyProtection="1">
      <alignment horizontal="center" vertical="center" wrapText="1"/>
      <protection hidden="1"/>
    </xf>
    <xf numFmtId="49" fontId="8" fillId="7" borderId="13" xfId="0" applyNumberFormat="1" applyFont="1" applyFill="1" applyBorder="1" applyAlignment="1" applyProtection="1">
      <alignment horizontal="left" vertical="center" wrapText="1"/>
      <protection hidden="1"/>
    </xf>
    <xf numFmtId="49" fontId="8" fillId="0" borderId="59" xfId="2" applyNumberFormat="1" applyFont="1" applyBorder="1" applyAlignment="1" applyProtection="1">
      <alignment horizontal="left" vertical="center" wrapText="1" indent="1"/>
      <protection hidden="1"/>
    </xf>
    <xf numFmtId="49" fontId="8" fillId="0" borderId="66" xfId="2" applyNumberFormat="1" applyFont="1" applyBorder="1" applyAlignment="1" applyProtection="1">
      <alignment horizontal="left" vertical="center" wrapText="1" indent="1"/>
      <protection hidden="1"/>
    </xf>
    <xf numFmtId="0" fontId="8" fillId="24" borderId="20" xfId="0" applyFont="1" applyFill="1" applyBorder="1" applyAlignment="1" applyProtection="1">
      <alignment horizontal="center" vertical="center" wrapText="1"/>
      <protection hidden="1"/>
    </xf>
    <xf numFmtId="0" fontId="8" fillId="24" borderId="32" xfId="0" applyFont="1" applyFill="1" applyBorder="1" applyAlignment="1" applyProtection="1">
      <alignment horizontal="center" vertical="center" wrapText="1"/>
      <protection hidden="1"/>
    </xf>
    <xf numFmtId="0" fontId="8" fillId="24" borderId="29" xfId="0" applyFont="1" applyFill="1" applyBorder="1" applyAlignment="1" applyProtection="1">
      <alignment horizontal="center" vertical="center" wrapText="1"/>
      <protection hidden="1"/>
    </xf>
    <xf numFmtId="0" fontId="8" fillId="24" borderId="17" xfId="0" applyFont="1" applyFill="1" applyBorder="1" applyAlignment="1" applyProtection="1">
      <alignment horizontal="center" vertical="center" wrapText="1"/>
      <protection hidden="1"/>
    </xf>
    <xf numFmtId="0" fontId="8" fillId="24" borderId="36" xfId="0" applyFont="1" applyFill="1" applyBorder="1" applyAlignment="1" applyProtection="1">
      <alignment horizontal="center" vertical="center" wrapText="1"/>
      <protection hidden="1"/>
    </xf>
    <xf numFmtId="0" fontId="8" fillId="24" borderId="37" xfId="0" applyFont="1" applyFill="1" applyBorder="1" applyAlignment="1" applyProtection="1">
      <alignment horizontal="center" vertical="center" wrapText="1"/>
      <protection hidden="1"/>
    </xf>
    <xf numFmtId="0" fontId="8" fillId="0" borderId="13" xfId="2" applyFont="1" applyBorder="1" applyAlignment="1" applyProtection="1">
      <alignment horizontal="left" vertical="center" wrapText="1"/>
      <protection hidden="1"/>
    </xf>
    <xf numFmtId="49" fontId="3" fillId="0" borderId="15" xfId="0" applyNumberFormat="1" applyFont="1" applyBorder="1" applyAlignment="1" applyProtection="1">
      <alignment horizontal="left" vertical="center" wrapText="1" indent="1"/>
      <protection hidden="1"/>
    </xf>
    <xf numFmtId="49" fontId="3" fillId="0" borderId="38" xfId="0" applyNumberFormat="1" applyFont="1" applyBorder="1" applyAlignment="1" applyProtection="1">
      <alignment horizontal="left" vertical="center" wrapText="1" indent="1"/>
      <protection hidden="1"/>
    </xf>
    <xf numFmtId="0" fontId="6" fillId="7" borderId="27" xfId="0" applyFont="1" applyFill="1" applyBorder="1" applyAlignment="1" applyProtection="1">
      <alignment horizontal="center" vertical="center" wrapText="1"/>
      <protection hidden="1"/>
    </xf>
    <xf numFmtId="0" fontId="6" fillId="7" borderId="37" xfId="0" applyFont="1" applyFill="1" applyBorder="1" applyAlignment="1" applyProtection="1">
      <alignment horizontal="center" vertical="center" wrapText="1"/>
      <protection hidden="1"/>
    </xf>
    <xf numFmtId="0" fontId="8" fillId="24" borderId="20" xfId="0" applyFont="1" applyFill="1" applyBorder="1" applyAlignment="1" applyProtection="1">
      <alignment horizontal="center" vertical="center" wrapText="1"/>
      <protection locked="0" hidden="1"/>
    </xf>
    <xf numFmtId="0" fontId="8" fillId="24" borderId="32" xfId="0" applyFont="1" applyFill="1" applyBorder="1" applyAlignment="1" applyProtection="1">
      <alignment horizontal="center" vertical="center" wrapText="1"/>
      <protection locked="0" hidden="1"/>
    </xf>
    <xf numFmtId="49" fontId="3" fillId="0" borderId="14" xfId="0" applyNumberFormat="1" applyFont="1" applyBorder="1" applyAlignment="1" applyProtection="1">
      <alignment horizontal="left" vertical="center" wrapText="1"/>
      <protection hidden="1"/>
    </xf>
    <xf numFmtId="49" fontId="3" fillId="0" borderId="18" xfId="0" applyNumberFormat="1" applyFont="1" applyBorder="1" applyAlignment="1" applyProtection="1">
      <alignment horizontal="left" vertical="center" wrapText="1"/>
      <protection hidden="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0" borderId="20" xfId="0" applyNumberFormat="1" applyFont="1" applyBorder="1" applyAlignment="1">
      <alignment horizontal="left" vertical="center" wrapText="1"/>
    </xf>
    <xf numFmtId="49" fontId="3" fillId="0" borderId="32"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3" fillId="0" borderId="16" xfId="0" applyNumberFormat="1" applyFont="1" applyBorder="1" applyAlignment="1" applyProtection="1">
      <alignment horizontal="left" vertical="center" wrapText="1"/>
      <protection locked="0"/>
    </xf>
    <xf numFmtId="49" fontId="3" fillId="0" borderId="0" xfId="0" applyNumberFormat="1" applyFont="1" applyAlignment="1" applyProtection="1">
      <alignment horizontal="left" vertical="center" wrapText="1"/>
      <protection locked="0"/>
    </xf>
    <xf numFmtId="49" fontId="3" fillId="0" borderId="43" xfId="0" applyNumberFormat="1" applyFont="1" applyBorder="1" applyAlignment="1" applyProtection="1">
      <alignment horizontal="left" vertical="center" wrapText="1"/>
      <protection locked="0"/>
    </xf>
    <xf numFmtId="49" fontId="3" fillId="0" borderId="44" xfId="0" applyNumberFormat="1" applyFont="1" applyBorder="1" applyAlignment="1" applyProtection="1">
      <alignment horizontal="left" vertical="center" wrapText="1"/>
      <protection locked="0"/>
    </xf>
    <xf numFmtId="49" fontId="3" fillId="0" borderId="27" xfId="0" applyNumberFormat="1" applyFont="1" applyBorder="1" applyAlignment="1" applyProtection="1">
      <alignment horizontal="left" vertical="center" wrapText="1"/>
      <protection locked="0"/>
    </xf>
    <xf numFmtId="49" fontId="3" fillId="0" borderId="25" xfId="0" applyNumberFormat="1" applyFont="1" applyBorder="1" applyAlignment="1" applyProtection="1">
      <alignment horizontal="left" vertical="center" wrapText="1"/>
      <protection locked="0"/>
    </xf>
    <xf numFmtId="49" fontId="3" fillId="0" borderId="16" xfId="0" applyNumberFormat="1" applyFont="1" applyBorder="1" applyAlignment="1">
      <alignment horizontal="right" vertical="center" wrapText="1"/>
    </xf>
    <xf numFmtId="49" fontId="3" fillId="0" borderId="0" xfId="0" applyNumberFormat="1" applyFont="1" applyAlignment="1">
      <alignment horizontal="right" vertical="center" wrapText="1"/>
    </xf>
    <xf numFmtId="49" fontId="3" fillId="0" borderId="42" xfId="0" applyNumberFormat="1" applyFont="1" applyBorder="1" applyAlignment="1">
      <alignment horizontal="right" vertical="center" wrapText="1"/>
    </xf>
    <xf numFmtId="49" fontId="3" fillId="21" borderId="16" xfId="0" applyNumberFormat="1" applyFont="1" applyFill="1" applyBorder="1" applyAlignment="1">
      <alignment horizontal="center" vertical="center" wrapText="1"/>
    </xf>
    <xf numFmtId="49" fontId="3" fillId="21" borderId="0" xfId="0" applyNumberFormat="1" applyFont="1" applyFill="1" applyAlignment="1">
      <alignment horizontal="center" vertical="center" wrapText="1"/>
    </xf>
    <xf numFmtId="49" fontId="3" fillId="21" borderId="27" xfId="0" applyNumberFormat="1" applyFont="1" applyFill="1" applyBorder="1" applyAlignment="1">
      <alignment horizontal="center" vertical="center" wrapText="1"/>
    </xf>
    <xf numFmtId="49" fontId="3" fillId="18" borderId="14" xfId="0" applyNumberFormat="1" applyFont="1" applyFill="1" applyBorder="1" applyAlignment="1" applyProtection="1">
      <alignment horizontal="left" vertical="center" wrapText="1"/>
      <protection locked="0"/>
    </xf>
    <xf numFmtId="49" fontId="3" fillId="18" borderId="18" xfId="0" applyNumberFormat="1" applyFont="1" applyFill="1" applyBorder="1" applyAlignment="1" applyProtection="1">
      <alignment horizontal="left" vertical="center" wrapText="1"/>
      <protection locked="0"/>
    </xf>
    <xf numFmtId="164" fontId="3" fillId="18" borderId="14" xfId="0" applyNumberFormat="1" applyFont="1" applyFill="1" applyBorder="1" applyAlignment="1" applyProtection="1">
      <alignment horizontal="left" vertical="center" wrapText="1"/>
      <protection locked="0"/>
    </xf>
    <xf numFmtId="164" fontId="3" fillId="18" borderId="18" xfId="0" applyNumberFormat="1" applyFont="1" applyFill="1" applyBorder="1" applyAlignment="1" applyProtection="1">
      <alignment horizontal="left" vertical="center" wrapText="1"/>
      <protection locked="0"/>
    </xf>
    <xf numFmtId="49" fontId="3" fillId="0" borderId="16"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27" xfId="0" applyNumberFormat="1" applyFont="1" applyBorder="1" applyAlignment="1">
      <alignment horizontal="left" vertical="center" wrapText="1"/>
    </xf>
    <xf numFmtId="49" fontId="2" fillId="21" borderId="5" xfId="0" applyNumberFormat="1" applyFont="1" applyFill="1" applyBorder="1" applyAlignment="1">
      <alignment horizontal="left" vertical="center" wrapText="1"/>
    </xf>
    <xf numFmtId="49" fontId="2" fillId="21" borderId="23" xfId="0" applyNumberFormat="1" applyFont="1" applyFill="1" applyBorder="1" applyAlignment="1">
      <alignment horizontal="left" vertical="center" wrapText="1"/>
    </xf>
    <xf numFmtId="49" fontId="2" fillId="21" borderId="31" xfId="0" applyNumberFormat="1" applyFont="1" applyFill="1" applyBorder="1" applyAlignment="1">
      <alignment horizontal="left" vertical="center" wrapText="1"/>
    </xf>
    <xf numFmtId="49" fontId="3" fillId="10" borderId="14" xfId="0" applyNumberFormat="1" applyFont="1" applyFill="1" applyBorder="1" applyAlignment="1" applyProtection="1">
      <alignment horizontal="center" vertical="center" wrapText="1"/>
      <protection hidden="1"/>
    </xf>
    <xf numFmtId="49" fontId="3" fillId="10" borderId="18" xfId="0" applyNumberFormat="1" applyFont="1" applyFill="1" applyBorder="1" applyAlignment="1" applyProtection="1">
      <alignment horizontal="center" vertical="center" wrapText="1"/>
      <protection hidden="1"/>
    </xf>
    <xf numFmtId="49" fontId="3" fillId="0" borderId="25" xfId="0" applyNumberFormat="1" applyFont="1" applyBorder="1" applyAlignment="1">
      <alignment horizontal="left" vertical="center" wrapText="1"/>
    </xf>
    <xf numFmtId="49" fontId="3" fillId="0" borderId="43" xfId="0" applyNumberFormat="1" applyFont="1" applyBorder="1" applyAlignment="1">
      <alignment horizontal="left" vertical="center" wrapText="1"/>
    </xf>
    <xf numFmtId="49" fontId="3" fillId="0" borderId="44" xfId="0" applyNumberFormat="1" applyFont="1" applyBorder="1" applyAlignment="1">
      <alignment horizontal="left" vertical="center" wrapText="1"/>
    </xf>
    <xf numFmtId="49" fontId="2" fillId="18" borderId="2" xfId="0" applyNumberFormat="1" applyFont="1" applyFill="1" applyBorder="1" applyAlignment="1" applyProtection="1">
      <alignment horizontal="center" vertical="center" wrapText="1"/>
      <protection hidden="1"/>
    </xf>
    <xf numFmtId="49" fontId="2" fillId="18" borderId="3" xfId="0" applyNumberFormat="1" applyFont="1" applyFill="1" applyBorder="1" applyAlignment="1" applyProtection="1">
      <alignment horizontal="center" vertical="center" wrapText="1"/>
      <protection hidden="1"/>
    </xf>
    <xf numFmtId="49" fontId="2" fillId="18" borderId="4" xfId="0" applyNumberFormat="1" applyFont="1" applyFill="1" applyBorder="1" applyAlignment="1" applyProtection="1">
      <alignment horizontal="center" vertical="center" wrapText="1"/>
      <protection hidden="1"/>
    </xf>
    <xf numFmtId="49" fontId="2" fillId="2" borderId="2" xfId="0" applyNumberFormat="1" applyFont="1" applyFill="1" applyBorder="1" applyAlignment="1" applyProtection="1">
      <alignment horizontal="center" vertical="center" wrapText="1"/>
      <protection hidden="1"/>
    </xf>
    <xf numFmtId="49" fontId="2" fillId="2" borderId="3" xfId="0" applyNumberFormat="1" applyFont="1" applyFill="1" applyBorder="1" applyAlignment="1" applyProtection="1">
      <alignment horizontal="center" vertical="center" wrapText="1"/>
      <protection hidden="1"/>
    </xf>
    <xf numFmtId="49" fontId="2" fillId="2" borderId="4" xfId="0" applyNumberFormat="1" applyFont="1" applyFill="1" applyBorder="1" applyAlignment="1" applyProtection="1">
      <alignment horizontal="center" vertical="center" wrapText="1"/>
      <protection hidden="1"/>
    </xf>
    <xf numFmtId="1" fontId="0" fillId="0" borderId="2" xfId="1" applyNumberFormat="1" applyFont="1" applyBorder="1" applyAlignment="1" applyProtection="1">
      <alignment horizontal="center" vertical="center"/>
      <protection hidden="1"/>
    </xf>
    <xf numFmtId="1" fontId="0" fillId="0" borderId="4" xfId="1" applyNumberFormat="1" applyFont="1" applyBorder="1" applyAlignment="1" applyProtection="1">
      <alignment horizontal="center" vertical="center"/>
      <protection hidden="1"/>
    </xf>
    <xf numFmtId="49" fontId="23" fillId="0" borderId="11" xfId="2" applyNumberFormat="1" applyFont="1" applyBorder="1" applyAlignment="1" applyProtection="1">
      <alignment horizontal="left" vertical="center" wrapText="1"/>
      <protection hidden="1"/>
    </xf>
  </cellXfs>
  <cellStyles count="3">
    <cellStyle name="Normal" xfId="0" builtinId="0"/>
    <cellStyle name="Normal 2" xfId="2" xr:uid="{D524F310-A517-A048-81E4-A4BC035DA4BA}"/>
    <cellStyle name="Percent" xfId="1" builtinId="5"/>
  </cellStyles>
  <dxfs count="290">
    <dxf>
      <font>
        <color rgb="FFC00000"/>
      </font>
      <fill>
        <patternFill>
          <bgColor rgb="FFC00000"/>
        </patternFill>
      </fill>
    </dxf>
    <dxf>
      <font>
        <color rgb="FFFFFF00"/>
      </font>
      <fill>
        <patternFill>
          <bgColor rgb="FFFFFF00"/>
        </patternFill>
      </fill>
    </dxf>
    <dxf>
      <font>
        <color rgb="FF00B050"/>
      </font>
      <fill>
        <patternFill>
          <bgColor rgb="FF00B050"/>
        </patternFill>
      </fill>
    </dxf>
    <dxf>
      <fill>
        <patternFill>
          <bgColor rgb="FFFF0000"/>
        </patternFill>
      </fill>
    </dxf>
    <dxf>
      <fill>
        <patternFill>
          <bgColor rgb="FFFFFF00"/>
        </patternFill>
      </fill>
    </dxf>
    <dxf>
      <fill>
        <patternFill>
          <bgColor rgb="FF00B05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FF00"/>
        </patternFill>
      </fill>
    </dxf>
    <dxf>
      <fill>
        <patternFill>
          <bgColor rgb="FF00B050"/>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color theme="0"/>
      </font>
      <fill>
        <patternFill>
          <bgColor theme="0"/>
        </patternFill>
      </fill>
    </dxf>
    <dxf>
      <font>
        <b/>
        <i val="0"/>
        <color theme="0"/>
      </font>
      <fill>
        <patternFill>
          <bgColor rgb="FFC00000"/>
        </patternFill>
      </fill>
    </dxf>
    <dxf>
      <font>
        <b/>
        <i val="0"/>
        <color theme="1"/>
      </font>
      <fill>
        <patternFill>
          <bgColor rgb="FF00B050"/>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color theme="0"/>
      </font>
      <fill>
        <patternFill>
          <bgColor theme="0"/>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b/>
        <i val="0"/>
        <color theme="1"/>
      </font>
      <fill>
        <patternFill>
          <bgColor theme="0" tint="-0.14996795556505021"/>
        </patternFill>
      </fill>
    </dxf>
    <dxf>
      <font>
        <b/>
        <i val="0"/>
        <color theme="1" tint="4.9989318521683403E-2"/>
      </font>
      <fill>
        <patternFill>
          <bgColor rgb="FFFFFF00"/>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color theme="2" tint="-9.9948118533890809E-2"/>
      </font>
      <fill>
        <patternFill>
          <bgColor theme="2" tint="-9.9948118533890809E-2"/>
        </patternFill>
      </fill>
    </dxf>
    <dxf>
      <font>
        <b/>
        <i val="0"/>
        <color theme="0"/>
      </font>
      <fill>
        <patternFill>
          <bgColor rgb="FFC00000"/>
        </patternFill>
      </fill>
    </dxf>
    <dxf>
      <font>
        <b/>
        <i val="0"/>
        <color theme="1"/>
      </font>
      <fill>
        <patternFill>
          <bgColor rgb="FFFFFF00"/>
        </patternFill>
      </fill>
    </dxf>
    <dxf>
      <font>
        <color theme="1" tint="4.9989318521683403E-2"/>
      </font>
      <fill>
        <patternFill>
          <bgColor theme="2" tint="-9.9948118533890809E-2"/>
        </patternFill>
      </fill>
    </dxf>
    <dxf>
      <font>
        <b/>
        <i val="0"/>
        <color theme="1"/>
      </font>
      <fill>
        <patternFill>
          <bgColor rgb="FF00B050"/>
        </patternFill>
      </fill>
    </dxf>
    <dxf>
      <font>
        <color theme="0"/>
      </font>
      <fill>
        <patternFill>
          <bgColor theme="0"/>
        </patternFill>
      </fill>
    </dxf>
    <dxf>
      <font>
        <b/>
        <i val="0"/>
        <color theme="1"/>
      </font>
      <fill>
        <patternFill>
          <bgColor rgb="FFFFFF00"/>
        </patternFill>
      </fill>
    </dxf>
    <dxf>
      <font>
        <b/>
        <i val="0"/>
        <color theme="1"/>
      </font>
      <fill>
        <patternFill>
          <bgColor rgb="FF00B050"/>
        </patternFill>
      </fill>
    </dxf>
    <dxf>
      <font>
        <b/>
        <i val="0"/>
        <color theme="0"/>
      </font>
      <fill>
        <patternFill>
          <bgColor rgb="FFC00000"/>
        </patternFill>
      </fill>
    </dxf>
    <dxf>
      <font>
        <color theme="2" tint="-9.9948118533890809E-2"/>
      </font>
      <fill>
        <patternFill>
          <bgColor theme="2" tint="-9.9948118533890809E-2"/>
        </patternFill>
      </fill>
    </dxf>
    <dxf>
      <font>
        <b/>
        <i val="0"/>
        <color theme="0"/>
      </font>
      <fill>
        <patternFill>
          <bgColor rgb="FFC00000"/>
        </patternFill>
      </fill>
    </dxf>
    <dxf>
      <font>
        <color theme="1"/>
      </font>
      <fill>
        <patternFill>
          <bgColor rgb="FF00B050"/>
        </patternFill>
      </fill>
    </dxf>
    <dxf>
      <font>
        <color theme="1"/>
      </font>
      <fill>
        <patternFill>
          <bgColor theme="2" tint="-9.9948118533890809E-2"/>
        </patternFill>
      </fill>
    </dxf>
    <dxf>
      <font>
        <b/>
        <i val="0"/>
        <color theme="1"/>
      </font>
      <fill>
        <patternFill>
          <bgColor rgb="FFFFFF00"/>
        </patternFill>
      </fill>
    </dxf>
    <dxf>
      <font>
        <color theme="0"/>
      </font>
      <fill>
        <patternFill>
          <bgColor theme="0"/>
        </patternFill>
      </fill>
    </dxf>
    <dxf>
      <font>
        <b/>
        <i val="0"/>
        <color theme="0"/>
      </font>
      <fill>
        <patternFill>
          <bgColor rgb="FFC00000"/>
        </patternFill>
      </fill>
    </dxf>
    <dxf>
      <font>
        <b/>
        <i val="0"/>
        <color theme="1"/>
      </font>
      <fill>
        <patternFill>
          <bgColor rgb="FF00B05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b/>
        <i/>
        <color theme="0"/>
      </font>
      <fill>
        <patternFill>
          <bgColor theme="0"/>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color theme="1"/>
      </font>
      <fill>
        <patternFill>
          <bgColor theme="2" tint="-9.9948118533890809E-2"/>
        </patternFill>
      </fill>
    </dxf>
    <dxf>
      <font>
        <color theme="2" tint="-9.9948118533890809E-2"/>
      </font>
      <fill>
        <patternFill>
          <bgColor theme="2" tint="-9.9948118533890809E-2"/>
        </patternFill>
      </fill>
    </dxf>
    <dxf>
      <font>
        <b/>
        <i val="0"/>
        <color theme="1"/>
      </font>
      <fill>
        <patternFill>
          <bgColor rgb="FFFFFF00"/>
        </patternFill>
      </fill>
    </dxf>
    <dxf>
      <font>
        <b/>
        <i val="0"/>
        <color theme="0"/>
      </font>
      <fill>
        <patternFill>
          <bgColor rgb="FFC00000"/>
        </patternFill>
      </fill>
    </dxf>
    <dxf>
      <font>
        <b/>
        <i val="0"/>
        <color theme="1"/>
      </font>
      <fill>
        <patternFill>
          <bgColor rgb="FF00B050"/>
        </patternFill>
      </fill>
    </dxf>
    <dxf>
      <font>
        <color theme="2" tint="-9.9948118533890809E-2"/>
      </font>
      <fill>
        <patternFill>
          <bgColor theme="2" tint="-9.9948118533890809E-2"/>
        </patternFill>
      </fill>
    </dxf>
    <dxf>
      <font>
        <color theme="1"/>
      </font>
      <fill>
        <patternFill>
          <bgColor rgb="FF00B050"/>
        </patternFill>
      </fill>
    </dxf>
    <dxf>
      <font>
        <b/>
        <i val="0"/>
        <color theme="0"/>
      </font>
      <fill>
        <patternFill>
          <bgColor rgb="FFC00000"/>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color theme="0"/>
      </font>
      <fill>
        <patternFill>
          <bgColor theme="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b/>
        <i val="0"/>
        <color theme="1"/>
      </font>
      <fill>
        <patternFill>
          <bgColor rgb="FF00B050"/>
        </patternFill>
      </fill>
    </dxf>
    <dxf>
      <font>
        <color theme="0"/>
      </font>
      <fill>
        <patternFill>
          <bgColor theme="0"/>
        </patternFill>
      </fill>
    </dxf>
    <dxf>
      <font>
        <b/>
        <i val="0"/>
        <color theme="0"/>
      </font>
      <fill>
        <patternFill>
          <bgColor rgb="FFC00000"/>
        </patternFill>
      </fill>
    </dxf>
    <dxf>
      <font>
        <b/>
        <i val="0"/>
        <color theme="1"/>
      </font>
      <fill>
        <patternFill>
          <bgColor rgb="FFFFFF00"/>
        </patternFill>
      </fill>
    </dxf>
    <dxf>
      <font>
        <b/>
        <i val="0"/>
        <color theme="1"/>
      </font>
      <fill>
        <patternFill>
          <bgColor theme="0" tint="-0.14996795556505021"/>
        </patternFill>
      </fill>
    </dxf>
    <dxf>
      <font>
        <b/>
        <i val="0"/>
        <color theme="1"/>
      </font>
      <fill>
        <patternFill>
          <bgColor rgb="FFFFFF00"/>
        </patternFill>
      </fill>
    </dxf>
    <dxf>
      <font>
        <b/>
        <i val="0"/>
        <color theme="1"/>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color theme="2" tint="-9.9948118533890809E-2"/>
      </font>
      <fill>
        <patternFill>
          <bgColor theme="2" tint="-9.9948118533890809E-2"/>
        </patternFill>
      </fill>
    </dxf>
    <dxf>
      <font>
        <b/>
        <i val="0"/>
        <color theme="1"/>
      </font>
      <fill>
        <patternFill>
          <bgColor theme="0" tint="-0.14996795556505021"/>
        </patternFill>
      </fill>
    </dxf>
    <dxf>
      <font>
        <color theme="0"/>
      </font>
      <fill>
        <patternFill>
          <bgColor theme="0"/>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b/>
        <i val="0"/>
        <color theme="1"/>
      </font>
      <fill>
        <patternFill>
          <bgColor rgb="FFFFFF00"/>
        </patternFill>
      </fill>
    </dxf>
    <dxf>
      <font>
        <b/>
        <i val="0"/>
        <color theme="0"/>
      </font>
      <fill>
        <patternFill>
          <bgColor rgb="FFC00000"/>
        </patternFill>
      </fill>
    </dxf>
    <dxf>
      <font>
        <b/>
        <i val="0"/>
        <color theme="1"/>
      </font>
      <fill>
        <patternFill>
          <bgColor rgb="FF00B050"/>
        </patternFill>
      </fill>
    </dxf>
    <dxf>
      <font>
        <color theme="2" tint="-9.9948118533890809E-2"/>
      </font>
      <fill>
        <patternFill>
          <bgColor theme="2" tint="-9.9948118533890809E-2"/>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color theme="0"/>
      </font>
      <fill>
        <patternFill>
          <bgColor theme="0"/>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color theme="0"/>
      </font>
      <fill>
        <patternFill>
          <bgColor theme="0"/>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b/>
        <i val="0"/>
        <color theme="1"/>
      </font>
      <fill>
        <patternFill>
          <bgColor rgb="FF00B050"/>
        </patternFill>
      </fill>
    </dxf>
    <dxf>
      <font>
        <color theme="2" tint="-9.9948118533890809E-2"/>
      </font>
      <fill>
        <patternFill>
          <bgColor theme="2" tint="-9.9948118533890809E-2"/>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b/>
        <i val="0"/>
        <color theme="0"/>
      </font>
      <fill>
        <patternFill>
          <bgColor rgb="FFC00000"/>
        </patternFill>
      </fill>
    </dxf>
    <dxf>
      <font>
        <b/>
        <i val="0"/>
        <color theme="1"/>
      </font>
      <fill>
        <patternFill>
          <bgColor theme="0" tint="-0.14996795556505021"/>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color theme="0"/>
      </font>
      <fill>
        <patternFill>
          <bgColor theme="0"/>
        </patternFill>
      </fill>
    </dxf>
    <dxf>
      <font>
        <b/>
        <i val="0"/>
        <color theme="0"/>
      </font>
      <fill>
        <patternFill>
          <bgColor rgb="FFC00000"/>
        </patternFill>
      </fill>
    </dxf>
    <dxf>
      <font>
        <b/>
        <i val="0"/>
        <color theme="1"/>
      </font>
      <fill>
        <patternFill>
          <bgColor rgb="FF00B050"/>
        </patternFill>
      </fill>
    </dxf>
    <dxf>
      <font>
        <b/>
        <i val="0"/>
        <color theme="1"/>
      </font>
      <fill>
        <patternFill>
          <bgColor rgb="FFFFFF00"/>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color theme="2" tint="-9.9948118533890809E-2"/>
      </font>
      <fill>
        <patternFill>
          <bgColor theme="2" tint="-9.9948118533890809E-2"/>
        </patternFill>
      </fill>
    </dxf>
    <dxf>
      <font>
        <b/>
        <i val="0"/>
      </font>
      <fill>
        <patternFill>
          <bgColor theme="0" tint="-0.14996795556505021"/>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color theme="0"/>
      </font>
      <fill>
        <patternFill>
          <bgColor theme="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color theme="1"/>
      </font>
      <fill>
        <patternFill>
          <bgColor rgb="FF00B05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color theme="0"/>
      </font>
      <fill>
        <patternFill>
          <bgColor theme="0"/>
        </patternFill>
      </fill>
    </dxf>
    <dxf>
      <fill>
        <patternFill>
          <bgColor theme="0" tint="-0.14996795556505021"/>
        </patternFill>
      </fill>
    </dxf>
    <dxf>
      <font>
        <b/>
        <i val="0"/>
        <color theme="1"/>
      </font>
      <fill>
        <patternFill>
          <bgColor rgb="FF00B050"/>
        </patternFill>
      </fill>
    </dxf>
    <dxf>
      <font>
        <b/>
        <i val="0"/>
        <color theme="0"/>
      </font>
      <fill>
        <patternFill>
          <bgColor rgb="FFC00000"/>
        </patternFill>
      </fill>
    </dxf>
    <dxf>
      <font>
        <b/>
        <i val="0"/>
        <color theme="1"/>
      </font>
      <fill>
        <patternFill>
          <bgColor rgb="FFFFFF00"/>
        </patternFill>
      </fill>
    </dxf>
    <dxf>
      <font>
        <color theme="2" tint="-9.9948118533890809E-2"/>
      </font>
      <fill>
        <patternFill>
          <bgColor theme="2" tint="-9.9948118533890809E-2"/>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color theme="2" tint="-9.9948118533890809E-2"/>
      </font>
      <fill>
        <patternFill>
          <bgColor theme="2" tint="-9.9948118533890809E-2"/>
        </patternFill>
      </fill>
    </dxf>
    <dxf>
      <font>
        <b/>
        <i val="0"/>
        <color theme="1"/>
      </font>
      <fill>
        <patternFill>
          <bgColor theme="0" tint="-0.14996795556505021"/>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color theme="0"/>
      </font>
      <fill>
        <patternFill>
          <bgColor theme="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b/>
        <i val="0"/>
        <color theme="1"/>
      </font>
      <fill>
        <patternFill>
          <bgColor rgb="FF00B050"/>
        </patternFill>
      </fill>
    </dxf>
    <dxf>
      <font>
        <b/>
        <i val="0"/>
        <color theme="1"/>
      </font>
      <fill>
        <patternFill>
          <bgColor rgb="FFFFFF00"/>
        </patternFill>
      </fill>
    </dxf>
    <dxf>
      <font>
        <color theme="0"/>
      </font>
      <fill>
        <patternFill>
          <bgColor theme="0"/>
        </patternFill>
      </fill>
    </dxf>
    <dxf>
      <font>
        <b/>
        <i val="0"/>
        <color theme="0"/>
      </font>
      <fill>
        <patternFill>
          <bgColor rgb="FFC00000"/>
        </patternFill>
      </fill>
    </dxf>
    <dxf>
      <font>
        <b/>
        <i val="0"/>
        <color theme="0"/>
      </font>
      <fill>
        <patternFill>
          <bgColor rgb="FFC0000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rgb="FFFFFF00"/>
        </patternFill>
      </fill>
    </dxf>
    <dxf>
      <font>
        <color theme="0"/>
      </font>
      <fill>
        <patternFill>
          <bgColor theme="0"/>
        </patternFill>
      </fill>
    </dxf>
    <dxf>
      <font>
        <b/>
        <i val="0"/>
        <color theme="1"/>
      </font>
      <fill>
        <patternFill>
          <bgColor theme="0" tint="-0.14996795556505021"/>
        </patternFill>
      </fill>
    </dxf>
    <dxf>
      <font>
        <b/>
        <i val="0"/>
        <color theme="1"/>
      </font>
      <fill>
        <patternFill>
          <bgColor rgb="FFFFFF00"/>
        </patternFill>
      </fill>
    </dxf>
    <dxf>
      <font>
        <b/>
        <i val="0"/>
        <color theme="0"/>
      </font>
      <fill>
        <patternFill>
          <bgColor rgb="FFC00000"/>
        </patternFill>
      </fill>
    </dxf>
    <dxf>
      <font>
        <b/>
        <i val="0"/>
        <color theme="1"/>
      </font>
      <fill>
        <patternFill>
          <bgColor rgb="FF00B05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b/>
        <i val="0"/>
        <color theme="0"/>
      </font>
      <fill>
        <patternFill>
          <bgColor rgb="FFC00000"/>
        </patternFill>
      </fill>
    </dxf>
    <dxf>
      <font>
        <b/>
        <i val="0"/>
        <color theme="1"/>
      </font>
      <fill>
        <patternFill>
          <bgColor rgb="FFFFFF00"/>
        </patternFill>
      </fill>
    </dxf>
    <dxf>
      <font>
        <color theme="0"/>
      </font>
      <fill>
        <patternFill>
          <bgColor theme="0"/>
        </patternFill>
      </fill>
    </dxf>
    <dxf>
      <font>
        <b/>
        <i val="0"/>
        <color theme="1"/>
      </font>
      <fill>
        <patternFill>
          <bgColor theme="0" tint="-0.14996795556505021"/>
        </patternFill>
      </fill>
    </dxf>
    <dxf>
      <font>
        <b/>
        <i val="0"/>
        <color theme="1"/>
      </font>
      <fill>
        <patternFill>
          <bgColor rgb="FF00B050"/>
        </patternFill>
      </fill>
    </dxf>
    <dxf>
      <font>
        <color theme="2" tint="-9.9948118533890809E-2"/>
      </font>
      <fill>
        <patternFill>
          <bgColor theme="2" tint="-9.9948118533890809E-2"/>
        </patternFill>
      </fill>
    </dxf>
    <dxf>
      <font>
        <b/>
        <i val="0"/>
        <color theme="1"/>
      </font>
      <fill>
        <patternFill>
          <bgColor rgb="FFFFFF00"/>
        </patternFill>
      </fill>
    </dxf>
    <dxf>
      <font>
        <b/>
        <i val="0"/>
        <color theme="0"/>
      </font>
      <fill>
        <patternFill>
          <bgColor rgb="FFC00000"/>
        </patternFill>
      </fill>
    </dxf>
    <dxf>
      <font>
        <b/>
        <i val="0"/>
        <color theme="1"/>
      </font>
      <fill>
        <patternFill>
          <bgColor rgb="FF00B050"/>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ill>
        <patternFill>
          <bgColor theme="0" tint="-0.14996795556505021"/>
        </patternFill>
      </fill>
    </dxf>
    <dxf>
      <font>
        <color theme="0"/>
      </font>
      <fill>
        <patternFill>
          <bgColor theme="0"/>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b/>
        <i val="0"/>
        <color theme="0"/>
      </font>
      <fill>
        <patternFill>
          <bgColor rgb="FFC00000"/>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3" tint="0.89996032593768116"/>
      </font>
    </dxf>
    <dxf>
      <font>
        <b/>
        <i val="0"/>
        <color theme="1"/>
      </font>
      <fill>
        <patternFill>
          <bgColor rgb="FFFFFF00"/>
        </patternFill>
      </fill>
    </dxf>
    <dxf>
      <font>
        <b/>
        <i val="0"/>
        <color theme="0"/>
      </font>
      <fill>
        <patternFill>
          <bgColor rgb="FFC00000"/>
        </patternFill>
      </fill>
    </dxf>
    <dxf>
      <font>
        <b/>
        <i val="0"/>
        <color theme="1"/>
      </font>
      <fill>
        <patternFill>
          <bgColor rgb="FF00B050"/>
        </patternFill>
      </fill>
    </dxf>
    <dxf>
      <font>
        <color theme="0"/>
      </font>
      <fill>
        <patternFill>
          <bgColor theme="0"/>
        </patternFill>
      </fill>
    </dxf>
    <dxf>
      <font>
        <b/>
        <i val="0"/>
        <color auto="1"/>
      </font>
      <fill>
        <patternFill>
          <fgColor theme="2" tint="-9.9948118533890809E-2"/>
          <bgColor theme="2" tint="-9.9917600024414813E-2"/>
        </patternFill>
      </fill>
    </dxf>
    <dxf>
      <font>
        <b/>
        <i val="0"/>
        <color theme="0"/>
      </font>
      <fill>
        <patternFill>
          <bgColor rgb="FFC0000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rgb="FFFFFF0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theme="0" tint="-0.14996795556505021"/>
        </patternFill>
      </fill>
    </dxf>
    <dxf>
      <font>
        <b/>
        <i val="0"/>
        <color theme="1"/>
      </font>
      <fill>
        <patternFill>
          <bgColor rgb="FFFFFF00"/>
        </patternFill>
      </fill>
    </dxf>
    <dxf>
      <font>
        <color theme="0"/>
      </font>
      <fill>
        <patternFill>
          <bgColor theme="0"/>
        </patternFill>
      </fill>
    </dxf>
    <dxf>
      <font>
        <b/>
        <i val="0"/>
        <color theme="0"/>
      </font>
      <fill>
        <patternFill>
          <bgColor rgb="FFC00000"/>
        </patternFill>
      </fill>
    </dxf>
    <dxf>
      <font>
        <color theme="2" tint="-9.9948118533890809E-2"/>
      </font>
      <fill>
        <patternFill>
          <bgColor theme="2" tint="-9.9948118533890809E-2"/>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ont>
        <color theme="1"/>
      </font>
      <fill>
        <patternFill>
          <bgColor rgb="FF00B050"/>
        </patternFill>
      </fill>
    </dxf>
    <dxf>
      <font>
        <color theme="2" tint="-9.9948118533890809E-2"/>
      </font>
      <fill>
        <patternFill>
          <bgColor theme="2" tint="-9.9948118533890809E-2"/>
        </patternFill>
      </fill>
    </dxf>
    <dxf>
      <font>
        <color theme="0"/>
      </font>
      <fill>
        <patternFill>
          <bgColor theme="0"/>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theme="0"/>
      </font>
      <fill>
        <patternFill>
          <bgColor theme="0"/>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ill>
        <patternFill>
          <bgColor rgb="FFFF0000"/>
        </patternFill>
      </fill>
    </dxf>
    <dxf>
      <fill>
        <patternFill>
          <bgColor rgb="FF00B050"/>
        </patternFill>
      </fill>
    </dxf>
    <dxf>
      <fill>
        <patternFill>
          <bgColor rgb="FF00B050"/>
        </patternFill>
      </fill>
    </dxf>
    <dxf>
      <fill>
        <patternFill>
          <bgColor rgb="FFFF0000"/>
        </patternFill>
      </fill>
    </dxf>
    <dxf>
      <font>
        <color theme="0"/>
      </font>
      <fill>
        <patternFill>
          <bgColor theme="0"/>
        </patternFill>
      </fill>
    </dxf>
    <dxf>
      <font>
        <b/>
        <i val="0"/>
        <color theme="1"/>
      </font>
      <fill>
        <patternFill>
          <bgColor rgb="FF00B050"/>
        </patternFill>
      </fill>
    </dxf>
    <dxf>
      <font>
        <b/>
        <i val="0"/>
        <color theme="1"/>
      </font>
      <fill>
        <patternFill>
          <bgColor rgb="FFFFFF00"/>
        </patternFill>
      </fill>
    </dxf>
    <dxf>
      <font>
        <b/>
        <i val="0"/>
        <color theme="0"/>
      </font>
      <fill>
        <patternFill>
          <bgColor rgb="FFC00000"/>
        </patternFill>
      </fill>
    </dxf>
    <dxf>
      <fill>
        <patternFill>
          <bgColor rgb="FF00B050"/>
        </patternFill>
      </fill>
    </dxf>
    <dxf>
      <fill>
        <patternFill>
          <bgColor rgb="FFFF0000"/>
        </patternFill>
      </fill>
    </dxf>
    <dxf>
      <font>
        <color theme="0"/>
      </font>
      <fill>
        <patternFill>
          <bgColor theme="0"/>
        </patternFill>
      </fill>
    </dxf>
    <dxf>
      <font>
        <b/>
        <i val="0"/>
        <color theme="0"/>
      </font>
      <fill>
        <patternFill>
          <bgColor rgb="FFC00000"/>
        </patternFill>
      </fill>
    </dxf>
    <dxf>
      <font>
        <b/>
        <i val="0"/>
        <color theme="1"/>
      </font>
      <fill>
        <patternFill>
          <bgColor rgb="FFFFFF00"/>
        </patternFill>
      </fill>
    </dxf>
    <dxf>
      <font>
        <b/>
        <i val="0"/>
        <color theme="1"/>
      </font>
      <fill>
        <patternFill>
          <bgColor rgb="FF00B050"/>
        </patternFill>
      </fill>
    </dxf>
    <dxf>
      <fill>
        <patternFill>
          <bgColor rgb="FFFF0000"/>
        </patternFill>
      </fill>
    </dxf>
    <dxf>
      <fill>
        <patternFill>
          <bgColor rgb="FF00B050"/>
        </patternFill>
      </fill>
    </dxf>
  </dxfs>
  <tableStyles count="0" defaultTableStyle="TableStyleMedium2" defaultPivotStyle="PivotStyleLight16"/>
  <colors>
    <mruColors>
      <color rgb="FFE8AEE2"/>
      <color rgb="FFEBE600"/>
      <color rgb="FFFFD03B"/>
      <color rgb="FFFFDE75"/>
      <color rgb="FFED90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solidFill>
                  <a:schemeClr val="tx1"/>
                </a:solidFill>
              </a:rPr>
              <a:t>Rapid HSQA summary result:</a:t>
            </a:r>
            <a:r>
              <a:rPr lang="en-US" sz="1200" baseline="0">
                <a:solidFill>
                  <a:schemeClr val="tx1"/>
                </a:solidFill>
              </a:rPr>
              <a:t> Overall score by standard</a:t>
            </a:r>
            <a:r>
              <a:rPr lang="en-US" sz="1200">
                <a:solidFill>
                  <a:schemeClr val="tx1"/>
                </a:solidFill>
              </a:rPr>
              <a:t>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866124122095956E-2"/>
          <c:y val="0.10640257945647168"/>
          <c:w val="0.94834532055307763"/>
          <c:h val="0.52031757200317719"/>
        </c:manualLayout>
      </c:layout>
      <c:barChart>
        <c:barDir val="col"/>
        <c:grouping val="percentStacked"/>
        <c:varyColors val="0"/>
        <c:ser>
          <c:idx val="1"/>
          <c:order val="0"/>
          <c:tx>
            <c:strRef>
              <c:f>'Tables for graphs'!$E$4</c:f>
              <c:strCache>
                <c:ptCount val="1"/>
                <c:pt idx="0">
                  <c:v>Needs Urgent Remediation</c:v>
                </c:pt>
              </c:strCache>
            </c:strRef>
          </c:tx>
          <c:spPr>
            <a:solidFill>
              <a:srgbClr val="C00000"/>
            </a:solidFill>
            <a:ln>
              <a:solidFill>
                <a:schemeClr val="bg1">
                  <a:lumMod val="85000"/>
                </a:schemeClr>
              </a:solidFill>
            </a:ln>
            <a:effectLst/>
          </c:spPr>
          <c:invertIfNegative val="0"/>
          <c:cat>
            <c:strRef>
              <c:f>'Tables for graphs'!$B$5:$B$28</c:f>
              <c:strCache>
                <c:ptCount val="24"/>
                <c:pt idx="0">
                  <c:v>Stigma 1</c:v>
                </c:pt>
                <c:pt idx="1">
                  <c:v>Stigma 2</c:v>
                </c:pt>
                <c:pt idx="2">
                  <c:v>Community Engagement </c:v>
                </c:pt>
                <c:pt idx="3">
                  <c:v>Wait Times</c:v>
                </c:pt>
                <c:pt idx="4">
                  <c:v>Testing 1</c:v>
                </c:pt>
                <c:pt idx="5">
                  <c:v>Testing 2</c:v>
                </c:pt>
                <c:pt idx="6">
                  <c:v>Prevention </c:v>
                </c:pt>
                <c:pt idx="7">
                  <c:v>Testing Linkage</c:v>
                </c:pt>
                <c:pt idx="8">
                  <c:v>ART</c:v>
                </c:pt>
                <c:pt idx="9">
                  <c:v>CTX</c:v>
                </c:pt>
                <c:pt idx="10">
                  <c:v>TB 1</c:v>
                </c:pt>
                <c:pt idx="11">
                  <c:v>TB 2</c:v>
                </c:pt>
                <c:pt idx="12">
                  <c:v>TB 3</c:v>
                </c:pt>
                <c:pt idx="13">
                  <c:v>VLS 1</c:v>
                </c:pt>
                <c:pt idx="14">
                  <c:v>VLS 2</c:v>
                </c:pt>
                <c:pt idx="15">
                  <c:v>Continuity in Treatment  </c:v>
                </c:pt>
                <c:pt idx="16">
                  <c:v>DSD 1</c:v>
                </c:pt>
                <c:pt idx="17">
                  <c:v>DSD 2</c:v>
                </c:pt>
                <c:pt idx="18">
                  <c:v>AHD</c:v>
                </c:pt>
                <c:pt idx="19">
                  <c:v>VTE EID 1</c:v>
                </c:pt>
                <c:pt idx="20">
                  <c:v>VTE EID 2</c:v>
                </c:pt>
                <c:pt idx="21">
                  <c:v>VTE EID 3</c:v>
                </c:pt>
                <c:pt idx="22">
                  <c:v>Supply 1</c:v>
                </c:pt>
                <c:pt idx="23">
                  <c:v>Supply 2</c:v>
                </c:pt>
              </c:strCache>
            </c:strRef>
          </c:cat>
          <c:val>
            <c:numRef>
              <c:f>'Tables for graphs'!$E$5:$E$28</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0-9593-4B6C-B7BC-F74D583C5FEE}"/>
            </c:ext>
          </c:extLst>
        </c:ser>
        <c:ser>
          <c:idx val="2"/>
          <c:order val="1"/>
          <c:tx>
            <c:strRef>
              <c:f>'Tables for graphs'!$F$4</c:f>
              <c:strCache>
                <c:ptCount val="1"/>
                <c:pt idx="0">
                  <c:v>Needs Improvement</c:v>
                </c:pt>
              </c:strCache>
            </c:strRef>
          </c:tx>
          <c:spPr>
            <a:solidFill>
              <a:srgbClr val="FFFF00"/>
            </a:solidFill>
            <a:ln>
              <a:solidFill>
                <a:schemeClr val="bg1">
                  <a:lumMod val="85000"/>
                </a:schemeClr>
              </a:solidFill>
            </a:ln>
            <a:effectLst/>
          </c:spPr>
          <c:invertIfNegative val="0"/>
          <c:cat>
            <c:strRef>
              <c:f>'Tables for graphs'!$B$5:$B$28</c:f>
              <c:strCache>
                <c:ptCount val="24"/>
                <c:pt idx="0">
                  <c:v>Stigma 1</c:v>
                </c:pt>
                <c:pt idx="1">
                  <c:v>Stigma 2</c:v>
                </c:pt>
                <c:pt idx="2">
                  <c:v>Community Engagement </c:v>
                </c:pt>
                <c:pt idx="3">
                  <c:v>Wait Times</c:v>
                </c:pt>
                <c:pt idx="4">
                  <c:v>Testing 1</c:v>
                </c:pt>
                <c:pt idx="5">
                  <c:v>Testing 2</c:v>
                </c:pt>
                <c:pt idx="6">
                  <c:v>Prevention </c:v>
                </c:pt>
                <c:pt idx="7">
                  <c:v>Testing Linkage</c:v>
                </c:pt>
                <c:pt idx="8">
                  <c:v>ART</c:v>
                </c:pt>
                <c:pt idx="9">
                  <c:v>CTX</c:v>
                </c:pt>
                <c:pt idx="10">
                  <c:v>TB 1</c:v>
                </c:pt>
                <c:pt idx="11">
                  <c:v>TB 2</c:v>
                </c:pt>
                <c:pt idx="12">
                  <c:v>TB 3</c:v>
                </c:pt>
                <c:pt idx="13">
                  <c:v>VLS 1</c:v>
                </c:pt>
                <c:pt idx="14">
                  <c:v>VLS 2</c:v>
                </c:pt>
                <c:pt idx="15">
                  <c:v>Continuity in Treatment  </c:v>
                </c:pt>
                <c:pt idx="16">
                  <c:v>DSD 1</c:v>
                </c:pt>
                <c:pt idx="17">
                  <c:v>DSD 2</c:v>
                </c:pt>
                <c:pt idx="18">
                  <c:v>AHD</c:v>
                </c:pt>
                <c:pt idx="19">
                  <c:v>VTE EID 1</c:v>
                </c:pt>
                <c:pt idx="20">
                  <c:v>VTE EID 2</c:v>
                </c:pt>
                <c:pt idx="21">
                  <c:v>VTE EID 3</c:v>
                </c:pt>
                <c:pt idx="22">
                  <c:v>Supply 1</c:v>
                </c:pt>
                <c:pt idx="23">
                  <c:v>Supply 2</c:v>
                </c:pt>
              </c:strCache>
            </c:strRef>
          </c:cat>
          <c:val>
            <c:numRef>
              <c:f>'Tables for graphs'!$F$5:$F$28</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extLst>
            <c:ext xmlns:c16="http://schemas.microsoft.com/office/drawing/2014/chart" uri="{C3380CC4-5D6E-409C-BE32-E72D297353CC}">
              <c16:uniqueId val="{00000001-9593-4B6C-B7BC-F74D583C5FEE}"/>
            </c:ext>
          </c:extLst>
        </c:ser>
        <c:ser>
          <c:idx val="3"/>
          <c:order val="2"/>
          <c:tx>
            <c:strRef>
              <c:f>'Tables for graphs'!$G$4</c:f>
              <c:strCache>
                <c:ptCount val="1"/>
                <c:pt idx="0">
                  <c:v>Meets Standard</c:v>
                </c:pt>
              </c:strCache>
            </c:strRef>
          </c:tx>
          <c:spPr>
            <a:solidFill>
              <a:srgbClr val="00B050"/>
            </a:solidFill>
            <a:ln>
              <a:solidFill>
                <a:schemeClr val="bg1">
                  <a:lumMod val="85000"/>
                </a:schemeClr>
              </a:solidFill>
            </a:ln>
            <a:effectLst/>
          </c:spPr>
          <c:invertIfNegative val="0"/>
          <c:cat>
            <c:strRef>
              <c:f>'Tables for graphs'!$B$5:$B$28</c:f>
              <c:strCache>
                <c:ptCount val="24"/>
                <c:pt idx="0">
                  <c:v>Stigma 1</c:v>
                </c:pt>
                <c:pt idx="1">
                  <c:v>Stigma 2</c:v>
                </c:pt>
                <c:pt idx="2">
                  <c:v>Community Engagement </c:v>
                </c:pt>
                <c:pt idx="3">
                  <c:v>Wait Times</c:v>
                </c:pt>
                <c:pt idx="4">
                  <c:v>Testing 1</c:v>
                </c:pt>
                <c:pt idx="5">
                  <c:v>Testing 2</c:v>
                </c:pt>
                <c:pt idx="6">
                  <c:v>Prevention </c:v>
                </c:pt>
                <c:pt idx="7">
                  <c:v>Testing Linkage</c:v>
                </c:pt>
                <c:pt idx="8">
                  <c:v>ART</c:v>
                </c:pt>
                <c:pt idx="9">
                  <c:v>CTX</c:v>
                </c:pt>
                <c:pt idx="10">
                  <c:v>TB 1</c:v>
                </c:pt>
                <c:pt idx="11">
                  <c:v>TB 2</c:v>
                </c:pt>
                <c:pt idx="12">
                  <c:v>TB 3</c:v>
                </c:pt>
                <c:pt idx="13">
                  <c:v>VLS 1</c:v>
                </c:pt>
                <c:pt idx="14">
                  <c:v>VLS 2</c:v>
                </c:pt>
                <c:pt idx="15">
                  <c:v>Continuity in Treatment  </c:v>
                </c:pt>
                <c:pt idx="16">
                  <c:v>DSD 1</c:v>
                </c:pt>
                <c:pt idx="17">
                  <c:v>DSD 2</c:v>
                </c:pt>
                <c:pt idx="18">
                  <c:v>AHD</c:v>
                </c:pt>
                <c:pt idx="19">
                  <c:v>VTE EID 1</c:v>
                </c:pt>
                <c:pt idx="20">
                  <c:v>VTE EID 2</c:v>
                </c:pt>
                <c:pt idx="21">
                  <c:v>VTE EID 3</c:v>
                </c:pt>
                <c:pt idx="22">
                  <c:v>Supply 1</c:v>
                </c:pt>
                <c:pt idx="23">
                  <c:v>Supply 2</c:v>
                </c:pt>
              </c:strCache>
            </c:strRef>
          </c:cat>
          <c:val>
            <c:numRef>
              <c:f>'Tables for graphs'!$G$5:$G$28</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extLst>
            <c:ext xmlns:c16="http://schemas.microsoft.com/office/drawing/2014/chart" uri="{C3380CC4-5D6E-409C-BE32-E72D297353CC}">
              <c16:uniqueId val="{00000002-9593-4B6C-B7BC-F74D583C5FEE}"/>
            </c:ext>
          </c:extLst>
        </c:ser>
        <c:ser>
          <c:idx val="4"/>
          <c:order val="3"/>
          <c:tx>
            <c:strRef>
              <c:f>'Tables for graphs'!$H$4</c:f>
              <c:strCache>
                <c:ptCount val="1"/>
                <c:pt idx="0">
                  <c:v>Not Applicable</c:v>
                </c:pt>
              </c:strCache>
            </c:strRef>
          </c:tx>
          <c:spPr>
            <a:solidFill>
              <a:schemeClr val="bg2">
                <a:lumMod val="75000"/>
              </a:schemeClr>
            </a:solidFill>
            <a:ln>
              <a:solidFill>
                <a:schemeClr val="bg2">
                  <a:lumMod val="75000"/>
                </a:schemeClr>
              </a:solidFill>
            </a:ln>
            <a:effectLst/>
          </c:spPr>
          <c:invertIfNegative val="0"/>
          <c:cat>
            <c:strRef>
              <c:f>'Tables for graphs'!$B$5:$B$28</c:f>
              <c:strCache>
                <c:ptCount val="24"/>
                <c:pt idx="0">
                  <c:v>Stigma 1</c:v>
                </c:pt>
                <c:pt idx="1">
                  <c:v>Stigma 2</c:v>
                </c:pt>
                <c:pt idx="2">
                  <c:v>Community Engagement </c:v>
                </c:pt>
                <c:pt idx="3">
                  <c:v>Wait Times</c:v>
                </c:pt>
                <c:pt idx="4">
                  <c:v>Testing 1</c:v>
                </c:pt>
                <c:pt idx="5">
                  <c:v>Testing 2</c:v>
                </c:pt>
                <c:pt idx="6">
                  <c:v>Prevention </c:v>
                </c:pt>
                <c:pt idx="7">
                  <c:v>Testing Linkage</c:v>
                </c:pt>
                <c:pt idx="8">
                  <c:v>ART</c:v>
                </c:pt>
                <c:pt idx="9">
                  <c:v>CTX</c:v>
                </c:pt>
                <c:pt idx="10">
                  <c:v>TB 1</c:v>
                </c:pt>
                <c:pt idx="11">
                  <c:v>TB 2</c:v>
                </c:pt>
                <c:pt idx="12">
                  <c:v>TB 3</c:v>
                </c:pt>
                <c:pt idx="13">
                  <c:v>VLS 1</c:v>
                </c:pt>
                <c:pt idx="14">
                  <c:v>VLS 2</c:v>
                </c:pt>
                <c:pt idx="15">
                  <c:v>Continuity in Treatment  </c:v>
                </c:pt>
                <c:pt idx="16">
                  <c:v>DSD 1</c:v>
                </c:pt>
                <c:pt idx="17">
                  <c:v>DSD 2</c:v>
                </c:pt>
                <c:pt idx="18">
                  <c:v>AHD</c:v>
                </c:pt>
                <c:pt idx="19">
                  <c:v>VTE EID 1</c:v>
                </c:pt>
                <c:pt idx="20">
                  <c:v>VTE EID 2</c:v>
                </c:pt>
                <c:pt idx="21">
                  <c:v>VTE EID 3</c:v>
                </c:pt>
                <c:pt idx="22">
                  <c:v>Supply 1</c:v>
                </c:pt>
                <c:pt idx="23">
                  <c:v>Supply 2</c:v>
                </c:pt>
              </c:strCache>
            </c:strRef>
          </c:cat>
          <c:val>
            <c:numRef>
              <c:f>'Tables for graphs'!$H$5:$H$28</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extLst>
            <c:ext xmlns:c16="http://schemas.microsoft.com/office/drawing/2014/chart" uri="{C3380CC4-5D6E-409C-BE32-E72D297353CC}">
              <c16:uniqueId val="{00000003-9593-4B6C-B7BC-F74D583C5FEE}"/>
            </c:ext>
          </c:extLst>
        </c:ser>
        <c:dLbls>
          <c:showLegendKey val="0"/>
          <c:showVal val="0"/>
          <c:showCatName val="0"/>
          <c:showSerName val="0"/>
          <c:showPercent val="0"/>
          <c:showBubbleSize val="0"/>
        </c:dLbls>
        <c:gapWidth val="40"/>
        <c:overlap val="100"/>
        <c:axId val="1337916047"/>
        <c:axId val="1337916527"/>
        <c:extLst/>
      </c:barChart>
      <c:catAx>
        <c:axId val="1337916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337916527"/>
        <c:crosses val="autoZero"/>
        <c:auto val="1"/>
        <c:lblAlgn val="ctr"/>
        <c:lblOffset val="100"/>
        <c:noMultiLvlLbl val="0"/>
      </c:catAx>
      <c:valAx>
        <c:axId val="13379165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7916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en-US" sz="1200" b="0" i="0" u="none" strike="noStrike" kern="1200" spc="0" baseline="0">
                <a:solidFill>
                  <a:schemeClr val="tx1"/>
                </a:solidFill>
              </a:rPr>
              <a:t>Rapid HSQA summary result: contibution of specific scores to the overal score by standard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5.7349029775630979E-2"/>
          <c:y val="0.10694444444444444"/>
          <c:w val="0.92479745138143044"/>
          <c:h val="0.51961529114416249"/>
        </c:manualLayout>
      </c:layout>
      <c:barChart>
        <c:barDir val="col"/>
        <c:grouping val="stacked"/>
        <c:varyColors val="0"/>
        <c:ser>
          <c:idx val="3"/>
          <c:order val="0"/>
          <c:tx>
            <c:strRef>
              <c:f>'Tables for graphs'!$O$4</c:f>
              <c:strCache>
                <c:ptCount val="1"/>
                <c:pt idx="0">
                  <c:v>Needs Urgent Remediation</c:v>
                </c:pt>
              </c:strCache>
            </c:strRef>
          </c:tx>
          <c:spPr>
            <a:solidFill>
              <a:srgbClr val="C00000"/>
            </a:solidFill>
            <a:ln>
              <a:solidFill>
                <a:schemeClr val="bg1">
                  <a:lumMod val="8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'Tables for graphs'!$J$5:$J$28</c:f>
              <c:strCache>
                <c:ptCount val="24"/>
                <c:pt idx="0">
                  <c:v>Stigma 1</c:v>
                </c:pt>
                <c:pt idx="1">
                  <c:v>Stigma 2</c:v>
                </c:pt>
                <c:pt idx="2">
                  <c:v>Community Engagement </c:v>
                </c:pt>
                <c:pt idx="3">
                  <c:v>Wait Times</c:v>
                </c:pt>
                <c:pt idx="4">
                  <c:v>Testing 1</c:v>
                </c:pt>
                <c:pt idx="5">
                  <c:v>Testing 2</c:v>
                </c:pt>
                <c:pt idx="6">
                  <c:v>Prevention </c:v>
                </c:pt>
                <c:pt idx="7">
                  <c:v>Testing Linkage</c:v>
                </c:pt>
                <c:pt idx="8">
                  <c:v>ART</c:v>
                </c:pt>
                <c:pt idx="9">
                  <c:v>CTX</c:v>
                </c:pt>
                <c:pt idx="10">
                  <c:v>TB 1</c:v>
                </c:pt>
                <c:pt idx="11">
                  <c:v>TB 2</c:v>
                </c:pt>
                <c:pt idx="12">
                  <c:v>TB 3</c:v>
                </c:pt>
                <c:pt idx="13">
                  <c:v>VLS 1</c:v>
                </c:pt>
                <c:pt idx="14">
                  <c:v>VLS 2</c:v>
                </c:pt>
                <c:pt idx="15">
                  <c:v>Continuity in Treatment  </c:v>
                </c:pt>
                <c:pt idx="16">
                  <c:v>DSD 1</c:v>
                </c:pt>
                <c:pt idx="17">
                  <c:v>DSD 2</c:v>
                </c:pt>
                <c:pt idx="18">
                  <c:v>AHD</c:v>
                </c:pt>
                <c:pt idx="19">
                  <c:v>VTE EID 1</c:v>
                </c:pt>
                <c:pt idx="20">
                  <c:v>VTE EID 2</c:v>
                </c:pt>
                <c:pt idx="21">
                  <c:v>VTE EID 3</c:v>
                </c:pt>
                <c:pt idx="22">
                  <c:v>Supply 1</c:v>
                </c:pt>
                <c:pt idx="23">
                  <c:v>Supply 2</c:v>
                </c:pt>
              </c:strCache>
            </c:strRef>
          </c:cat>
          <c:val>
            <c:numRef>
              <c:f>'Tables for graphs'!$O$5:$O$28</c:f>
              <c:numCache>
                <c:formatCode>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extLst>
            <c:ext xmlns:c16="http://schemas.microsoft.com/office/drawing/2014/chart" uri="{C3380CC4-5D6E-409C-BE32-E72D297353CC}">
              <c16:uniqueId val="{00000000-BB37-48FF-92ED-7ADF3956D7D7}"/>
            </c:ext>
          </c:extLst>
        </c:ser>
        <c:ser>
          <c:idx val="4"/>
          <c:order val="1"/>
          <c:tx>
            <c:strRef>
              <c:f>'Tables for graphs'!$P$4</c:f>
              <c:strCache>
                <c:ptCount val="1"/>
                <c:pt idx="0">
                  <c:v>Needs Improvement</c:v>
                </c:pt>
              </c:strCache>
            </c:strRef>
          </c:tx>
          <c:spPr>
            <a:solidFill>
              <a:srgbClr val="FFFF00"/>
            </a:solidFill>
            <a:ln>
              <a:solidFill>
                <a:schemeClr val="bg1">
                  <a:lumMod val="8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'Tables for graphs'!$J$5:$J$28</c:f>
              <c:strCache>
                <c:ptCount val="24"/>
                <c:pt idx="0">
                  <c:v>Stigma 1</c:v>
                </c:pt>
                <c:pt idx="1">
                  <c:v>Stigma 2</c:v>
                </c:pt>
                <c:pt idx="2">
                  <c:v>Community Engagement </c:v>
                </c:pt>
                <c:pt idx="3">
                  <c:v>Wait Times</c:v>
                </c:pt>
                <c:pt idx="4">
                  <c:v>Testing 1</c:v>
                </c:pt>
                <c:pt idx="5">
                  <c:v>Testing 2</c:v>
                </c:pt>
                <c:pt idx="6">
                  <c:v>Prevention </c:v>
                </c:pt>
                <c:pt idx="7">
                  <c:v>Testing Linkage</c:v>
                </c:pt>
                <c:pt idx="8">
                  <c:v>ART</c:v>
                </c:pt>
                <c:pt idx="9">
                  <c:v>CTX</c:v>
                </c:pt>
                <c:pt idx="10">
                  <c:v>TB 1</c:v>
                </c:pt>
                <c:pt idx="11">
                  <c:v>TB 2</c:v>
                </c:pt>
                <c:pt idx="12">
                  <c:v>TB 3</c:v>
                </c:pt>
                <c:pt idx="13">
                  <c:v>VLS 1</c:v>
                </c:pt>
                <c:pt idx="14">
                  <c:v>VLS 2</c:v>
                </c:pt>
                <c:pt idx="15">
                  <c:v>Continuity in Treatment  </c:v>
                </c:pt>
                <c:pt idx="16">
                  <c:v>DSD 1</c:v>
                </c:pt>
                <c:pt idx="17">
                  <c:v>DSD 2</c:v>
                </c:pt>
                <c:pt idx="18">
                  <c:v>AHD</c:v>
                </c:pt>
                <c:pt idx="19">
                  <c:v>VTE EID 1</c:v>
                </c:pt>
                <c:pt idx="20">
                  <c:v>VTE EID 2</c:v>
                </c:pt>
                <c:pt idx="21">
                  <c:v>VTE EID 3</c:v>
                </c:pt>
                <c:pt idx="22">
                  <c:v>Supply 1</c:v>
                </c:pt>
                <c:pt idx="23">
                  <c:v>Supply 2</c:v>
                </c:pt>
              </c:strCache>
            </c:strRef>
          </c:cat>
          <c:val>
            <c:numRef>
              <c:f>'Tables for graphs'!$P$5:$P$28</c:f>
              <c:numCache>
                <c:formatCode>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extLst>
            <c:ext xmlns:c16="http://schemas.microsoft.com/office/drawing/2014/chart" uri="{C3380CC4-5D6E-409C-BE32-E72D297353CC}">
              <c16:uniqueId val="{00000001-BB37-48FF-92ED-7ADF3956D7D7}"/>
            </c:ext>
          </c:extLst>
        </c:ser>
        <c:ser>
          <c:idx val="5"/>
          <c:order val="2"/>
          <c:tx>
            <c:strRef>
              <c:f>'Tables for graphs'!$Q$4</c:f>
              <c:strCache>
                <c:ptCount val="1"/>
                <c:pt idx="0">
                  <c:v>Meets Standard</c:v>
                </c:pt>
              </c:strCache>
            </c:strRef>
          </c:tx>
          <c:spPr>
            <a:solidFill>
              <a:srgbClr val="00B050"/>
            </a:solidFill>
            <a:ln>
              <a:solidFill>
                <a:schemeClr val="bg1">
                  <a:lumMod val="8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'Tables for graphs'!$J$5:$J$28</c:f>
              <c:strCache>
                <c:ptCount val="24"/>
                <c:pt idx="0">
                  <c:v>Stigma 1</c:v>
                </c:pt>
                <c:pt idx="1">
                  <c:v>Stigma 2</c:v>
                </c:pt>
                <c:pt idx="2">
                  <c:v>Community Engagement </c:v>
                </c:pt>
                <c:pt idx="3">
                  <c:v>Wait Times</c:v>
                </c:pt>
                <c:pt idx="4">
                  <c:v>Testing 1</c:v>
                </c:pt>
                <c:pt idx="5">
                  <c:v>Testing 2</c:v>
                </c:pt>
                <c:pt idx="6">
                  <c:v>Prevention </c:v>
                </c:pt>
                <c:pt idx="7">
                  <c:v>Testing Linkage</c:v>
                </c:pt>
                <c:pt idx="8">
                  <c:v>ART</c:v>
                </c:pt>
                <c:pt idx="9">
                  <c:v>CTX</c:v>
                </c:pt>
                <c:pt idx="10">
                  <c:v>TB 1</c:v>
                </c:pt>
                <c:pt idx="11">
                  <c:v>TB 2</c:v>
                </c:pt>
                <c:pt idx="12">
                  <c:v>TB 3</c:v>
                </c:pt>
                <c:pt idx="13">
                  <c:v>VLS 1</c:v>
                </c:pt>
                <c:pt idx="14">
                  <c:v>VLS 2</c:v>
                </c:pt>
                <c:pt idx="15">
                  <c:v>Continuity in Treatment  </c:v>
                </c:pt>
                <c:pt idx="16">
                  <c:v>DSD 1</c:v>
                </c:pt>
                <c:pt idx="17">
                  <c:v>DSD 2</c:v>
                </c:pt>
                <c:pt idx="18">
                  <c:v>AHD</c:v>
                </c:pt>
                <c:pt idx="19">
                  <c:v>VTE EID 1</c:v>
                </c:pt>
                <c:pt idx="20">
                  <c:v>VTE EID 2</c:v>
                </c:pt>
                <c:pt idx="21">
                  <c:v>VTE EID 3</c:v>
                </c:pt>
                <c:pt idx="22">
                  <c:v>Supply 1</c:v>
                </c:pt>
                <c:pt idx="23">
                  <c:v>Supply 2</c:v>
                </c:pt>
              </c:strCache>
            </c:strRef>
          </c:cat>
          <c:val>
            <c:numRef>
              <c:f>'Tables for graphs'!$Q$5:$Q$28</c:f>
              <c:numCache>
                <c:formatCode>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extLst>
            <c:ext xmlns:c16="http://schemas.microsoft.com/office/drawing/2014/chart" uri="{C3380CC4-5D6E-409C-BE32-E72D297353CC}">
              <c16:uniqueId val="{00000002-BB37-48FF-92ED-7ADF3956D7D7}"/>
            </c:ext>
          </c:extLst>
        </c:ser>
        <c:dLbls>
          <c:showLegendKey val="0"/>
          <c:showVal val="0"/>
          <c:showCatName val="0"/>
          <c:showSerName val="0"/>
          <c:showPercent val="0"/>
          <c:showBubbleSize val="0"/>
        </c:dLbls>
        <c:gapWidth val="40"/>
        <c:overlap val="100"/>
        <c:axId val="1337879567"/>
        <c:axId val="1337880047"/>
      </c:barChart>
      <c:catAx>
        <c:axId val="1337879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337880047"/>
        <c:crosses val="autoZero"/>
        <c:auto val="1"/>
        <c:lblAlgn val="ctr"/>
        <c:lblOffset val="100"/>
        <c:noMultiLvlLbl val="0"/>
      </c:catAx>
      <c:valAx>
        <c:axId val="133788004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7879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493870</xdr:colOff>
      <xdr:row>3</xdr:row>
      <xdr:rowOff>204313</xdr:rowOff>
    </xdr:from>
    <xdr:to>
      <xdr:col>32</xdr:col>
      <xdr:colOff>285750</xdr:colOff>
      <xdr:row>32</xdr:row>
      <xdr:rowOff>79375</xdr:rowOff>
    </xdr:to>
    <xdr:graphicFrame macro="">
      <xdr:nvGraphicFramePr>
        <xdr:cNvPr id="4" name="Chart 3">
          <a:extLst>
            <a:ext uri="{FF2B5EF4-FFF2-40B4-BE49-F238E27FC236}">
              <a16:creationId xmlns:a16="http://schemas.microsoft.com/office/drawing/2014/main" id="{2635F5A5-598F-4008-A59A-0B2A72DD77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412750</xdr:colOff>
      <xdr:row>33</xdr:row>
      <xdr:rowOff>111124</xdr:rowOff>
    </xdr:from>
    <xdr:to>
      <xdr:col>32</xdr:col>
      <xdr:colOff>333375</xdr:colOff>
      <xdr:row>64</xdr:row>
      <xdr:rowOff>142874</xdr:rowOff>
    </xdr:to>
    <xdr:graphicFrame macro="">
      <xdr:nvGraphicFramePr>
        <xdr:cNvPr id="5" name="Chart 4">
          <a:extLst>
            <a:ext uri="{FF2B5EF4-FFF2-40B4-BE49-F238E27FC236}">
              <a16:creationId xmlns:a16="http://schemas.microsoft.com/office/drawing/2014/main" id="{081D78F0-FD6C-423F-893D-68CEB16EA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icapatcolumbia.sharepoint.com/Users/kachi/Mirror/Onyekachi_Oremus/Regional_CQUIN%202024/CQUIN%202024/CQUIN_Technical/Quality%20Management%20(QM)/Rapid%20SQA%20/Responses-SQA%20Survey/Uganda/Archive-5a/SQA_%20National%20Paediatrics%20and%20Adolescent%20HIV%20Support%20Supervision.xlsx" TargetMode="External"/><Relationship Id="rId2" Type="http://schemas.microsoft.com/office/2019/04/relationships/externalLinkLongPath" Target="/sites/ngoonline/projects/1019/Documents/07.%20Communities%20of%20Practice/03.%20Quality%20Management/Quality%20Management%202025/Strategic%20Planning%20Meeting/Responses-SQA%20Survey/Uganda/Archive-5a/SQA_%20National%20Paediatrics%20and%20Adolescent%20HIV%20Support%20Supervision.xlsx?D6393A9F" TargetMode="External"/><Relationship Id="rId1" Type="http://schemas.openxmlformats.org/officeDocument/2006/relationships/externalLinkPath" Target="file:///\\D6393A9F\SQA_%20National%20Paediatrics%20and%20Adolescent%20HIV%20Support%20Supervision.xlsx" TargetMode="External"/><Relationship Id="rId4" Type="http://schemas.openxmlformats.org/officeDocument/2006/relationships/externalLinkPath" Target="../../../../../../../../../ngoonline/projects/1019/Documents/07.%20Communities%20of%20Practice/03.%20Quality%20Management/Quality%20Management%202025/Strategic%20Planning%20Meeting/Responses-SQA%20Survey/Uganda/Archive-5a/SQA_%20National%20Paediatrics%20and%20Adolescent%20HIV%20Support%20Supervi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Background"/>
      <sheetName val="Dashboard"/>
      <sheetName val="Data Abstraction Form"/>
      <sheetName val="Data sources"/>
      <sheetName val="data-vertical"/>
      <sheetName val="DataExport"/>
      <sheetName val="Dropdowns"/>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E3E3-B803-4FB3-89BB-33F1B197F88C}">
  <sheetPr>
    <tabColor rgb="FF0070C0"/>
  </sheetPr>
  <dimension ref="A1:J277"/>
  <sheetViews>
    <sheetView zoomScale="80" zoomScaleNormal="80" workbookViewId="0">
      <selection activeCell="E51" sqref="E51"/>
    </sheetView>
  </sheetViews>
  <sheetFormatPr defaultColWidth="8.5" defaultRowHeight="14.25"/>
  <cols>
    <col min="1" max="1" width="9.5" style="82" customWidth="1"/>
    <col min="2" max="2" width="2" style="82" customWidth="1"/>
    <col min="3" max="3" width="9.5" style="82" customWidth="1"/>
    <col min="4" max="4" width="19" style="82" customWidth="1"/>
    <col min="5" max="5" width="30.5" style="82" customWidth="1"/>
    <col min="6" max="6" width="4.5" style="82" customWidth="1"/>
    <col min="7" max="7" width="24.125" style="82" customWidth="1"/>
    <col min="8" max="8" width="27.625" style="82" customWidth="1"/>
    <col min="9" max="9" width="18" style="82" customWidth="1"/>
    <col min="10" max="10" width="2.625" style="82" customWidth="1"/>
    <col min="11" max="12" width="9.5" style="82" customWidth="1"/>
    <col min="13" max="15" width="8.5" style="82"/>
    <col min="16" max="16" width="24" style="82" customWidth="1"/>
    <col min="17" max="16384" width="8.5" style="82"/>
  </cols>
  <sheetData>
    <row r="1" spans="2:10" ht="5.25" customHeight="1" thickBot="1"/>
    <row r="2" spans="2:10" s="83" customFormat="1" ht="25.35" customHeight="1" thickBot="1">
      <c r="B2" s="553" t="s">
        <v>0</v>
      </c>
      <c r="C2" s="554"/>
      <c r="D2" s="554"/>
      <c r="E2" s="554"/>
      <c r="F2" s="554"/>
      <c r="G2" s="554"/>
      <c r="H2" s="554"/>
      <c r="I2" s="554"/>
      <c r="J2" s="555"/>
    </row>
    <row r="3" spans="2:10" s="84" customFormat="1" ht="8.85" customHeight="1" thickBot="1"/>
    <row r="4" spans="2:10" s="84" customFormat="1" ht="15.75" customHeight="1">
      <c r="B4" s="565" t="s">
        <v>1</v>
      </c>
      <c r="C4" s="566"/>
      <c r="D4" s="567"/>
      <c r="E4" s="79"/>
      <c r="G4" s="87" t="s">
        <v>2</v>
      </c>
      <c r="H4" s="571"/>
      <c r="I4" s="572"/>
      <c r="J4" s="85"/>
    </row>
    <row r="5" spans="2:10" s="84" customFormat="1" ht="4.5" customHeight="1">
      <c r="B5" s="86"/>
      <c r="C5" s="87"/>
      <c r="D5" s="87"/>
      <c r="E5" s="345"/>
      <c r="G5" s="87"/>
      <c r="J5" s="88"/>
    </row>
    <row r="6" spans="2:10" s="84" customFormat="1" ht="21.75" customHeight="1">
      <c r="B6" s="565" t="s">
        <v>3</v>
      </c>
      <c r="C6" s="566"/>
      <c r="D6" s="567"/>
      <c r="E6" s="79"/>
      <c r="G6" s="87" t="s">
        <v>4</v>
      </c>
      <c r="H6" s="571"/>
      <c r="I6" s="572"/>
      <c r="J6" s="88"/>
    </row>
    <row r="7" spans="2:10" s="84" customFormat="1" ht="3.75" customHeight="1">
      <c r="B7" s="86"/>
      <c r="C7" s="87"/>
      <c r="D7" s="87"/>
      <c r="E7" s="345"/>
      <c r="J7" s="88"/>
    </row>
    <row r="8" spans="2:10" s="84" customFormat="1" ht="15" customHeight="1">
      <c r="B8" s="565" t="s">
        <v>5</v>
      </c>
      <c r="C8" s="566"/>
      <c r="D8" s="567"/>
      <c r="E8" s="79"/>
      <c r="G8" s="87" t="s">
        <v>6</v>
      </c>
      <c r="H8" s="573"/>
      <c r="I8" s="574"/>
      <c r="J8" s="88"/>
    </row>
    <row r="9" spans="2:10" s="84" customFormat="1" ht="7.35" customHeight="1">
      <c r="B9" s="89"/>
      <c r="E9" s="345"/>
      <c r="I9" s="188"/>
      <c r="J9" s="88"/>
    </row>
    <row r="10" spans="2:10" s="84" customFormat="1" ht="15" customHeight="1">
      <c r="B10" s="565" t="s">
        <v>7</v>
      </c>
      <c r="C10" s="566"/>
      <c r="D10" s="567"/>
      <c r="E10" s="79"/>
      <c r="G10" s="87"/>
      <c r="H10" s="571"/>
      <c r="I10" s="572"/>
      <c r="J10" s="88"/>
    </row>
    <row r="11" spans="2:10" s="84" customFormat="1" ht="5.25" customHeight="1">
      <c r="B11" s="86"/>
      <c r="C11" s="87"/>
      <c r="D11" s="87"/>
      <c r="E11" s="345"/>
      <c r="G11" s="87"/>
      <c r="J11" s="88"/>
    </row>
    <row r="12" spans="2:10" s="84" customFormat="1" ht="15" customHeight="1">
      <c r="B12" s="565" t="s">
        <v>8</v>
      </c>
      <c r="C12" s="566"/>
      <c r="D12" s="567"/>
      <c r="E12" s="79"/>
      <c r="G12" s="87"/>
      <c r="H12" s="571"/>
      <c r="I12" s="572"/>
      <c r="J12" s="88"/>
    </row>
    <row r="13" spans="2:10" s="84" customFormat="1" ht="5.25" customHeight="1">
      <c r="B13" s="86"/>
      <c r="C13" s="87"/>
      <c r="D13" s="87"/>
      <c r="E13" s="345"/>
      <c r="J13" s="88"/>
    </row>
    <row r="14" spans="2:10" s="84" customFormat="1" ht="15" customHeight="1">
      <c r="B14" s="565"/>
      <c r="C14" s="566"/>
      <c r="D14" s="567"/>
      <c r="E14" s="79"/>
      <c r="G14" s="87"/>
      <c r="H14" s="573"/>
      <c r="I14" s="574"/>
      <c r="J14" s="88"/>
    </row>
    <row r="15" spans="2:10" s="84" customFormat="1" ht="5.25" customHeight="1">
      <c r="B15" s="89"/>
      <c r="J15" s="88"/>
    </row>
    <row r="16" spans="2:10" s="84" customFormat="1" ht="15" customHeight="1">
      <c r="B16" s="556" t="s">
        <v>9</v>
      </c>
      <c r="C16" s="557"/>
      <c r="D16" s="557"/>
      <c r="E16" s="557"/>
      <c r="F16" s="557"/>
      <c r="G16" s="557"/>
      <c r="H16" s="557"/>
      <c r="I16" s="557"/>
      <c r="J16" s="558"/>
    </row>
    <row r="17" spans="2:10" s="84" customFormat="1" ht="15" customHeight="1">
      <c r="B17" s="559"/>
      <c r="C17" s="560"/>
      <c r="D17" s="560"/>
      <c r="E17" s="560"/>
      <c r="F17" s="80"/>
      <c r="G17" s="560" t="s">
        <v>10</v>
      </c>
      <c r="H17" s="560"/>
      <c r="I17" s="560"/>
      <c r="J17" s="563"/>
    </row>
    <row r="18" spans="2:10" s="84" customFormat="1" ht="15" customHeight="1">
      <c r="B18" s="559" t="s">
        <v>10</v>
      </c>
      <c r="C18" s="560"/>
      <c r="D18" s="560"/>
      <c r="E18" s="560"/>
      <c r="F18" s="80"/>
      <c r="G18" s="560" t="s">
        <v>10</v>
      </c>
      <c r="H18" s="560"/>
      <c r="I18" s="560"/>
      <c r="J18" s="563"/>
    </row>
    <row r="19" spans="2:10" s="84" customFormat="1" ht="15" customHeight="1">
      <c r="B19" s="559" t="s">
        <v>10</v>
      </c>
      <c r="C19" s="560"/>
      <c r="D19" s="560"/>
      <c r="E19" s="560"/>
      <c r="F19" s="80"/>
      <c r="G19" s="560" t="s">
        <v>10</v>
      </c>
      <c r="H19" s="560"/>
      <c r="I19" s="560"/>
      <c r="J19" s="563"/>
    </row>
    <row r="20" spans="2:10" s="84" customFormat="1" ht="15" customHeight="1">
      <c r="B20" s="559" t="s">
        <v>10</v>
      </c>
      <c r="C20" s="560"/>
      <c r="D20" s="560"/>
      <c r="E20" s="560"/>
      <c r="F20" s="80"/>
      <c r="G20" s="560" t="s">
        <v>10</v>
      </c>
      <c r="H20" s="560"/>
      <c r="I20" s="560"/>
      <c r="J20" s="563"/>
    </row>
    <row r="21" spans="2:10" s="84" customFormat="1" ht="15" customHeight="1" thickBot="1">
      <c r="B21" s="564" t="s">
        <v>10</v>
      </c>
      <c r="C21" s="561"/>
      <c r="D21" s="561"/>
      <c r="E21" s="561"/>
      <c r="F21" s="81"/>
      <c r="G21" s="561" t="s">
        <v>10</v>
      </c>
      <c r="H21" s="561"/>
      <c r="I21" s="561"/>
      <c r="J21" s="562"/>
    </row>
    <row r="22" spans="2:10" s="84" customFormat="1" ht="10.35" customHeight="1" thickBot="1"/>
    <row r="23" spans="2:10" s="84" customFormat="1" ht="15">
      <c r="B23" s="578" t="s">
        <v>11</v>
      </c>
      <c r="C23" s="579"/>
      <c r="D23" s="579"/>
      <c r="E23" s="579"/>
      <c r="F23" s="579"/>
      <c r="G23" s="579"/>
      <c r="H23" s="579"/>
      <c r="I23" s="579"/>
      <c r="J23" s="580"/>
    </row>
    <row r="24" spans="2:10" s="84" customFormat="1" ht="76.5" customHeight="1">
      <c r="B24" s="556" t="s">
        <v>12</v>
      </c>
      <c r="C24" s="557"/>
      <c r="D24" s="557"/>
      <c r="E24" s="557"/>
      <c r="F24" s="557"/>
      <c r="G24" s="557"/>
      <c r="H24" s="557"/>
      <c r="I24" s="557"/>
      <c r="J24" s="558"/>
    </row>
    <row r="25" spans="2:10" s="84" customFormat="1" ht="5.25" customHeight="1">
      <c r="B25" s="568"/>
      <c r="C25" s="569"/>
      <c r="D25" s="569"/>
      <c r="E25" s="569"/>
      <c r="F25" s="569"/>
      <c r="G25" s="569"/>
      <c r="H25" s="569"/>
      <c r="I25" s="569"/>
      <c r="J25" s="570"/>
    </row>
    <row r="26" spans="2:10" s="84" customFormat="1" ht="76.5" customHeight="1">
      <c r="B26" s="556" t="s">
        <v>13</v>
      </c>
      <c r="C26" s="557"/>
      <c r="D26" s="557"/>
      <c r="E26" s="557"/>
      <c r="F26" s="557"/>
      <c r="G26" s="557"/>
      <c r="H26" s="557"/>
      <c r="I26" s="557"/>
      <c r="J26" s="558"/>
    </row>
    <row r="27" spans="2:10" s="84" customFormat="1" ht="5.25" customHeight="1">
      <c r="B27" s="568"/>
      <c r="C27" s="569"/>
      <c r="D27" s="569"/>
      <c r="E27" s="569"/>
      <c r="F27" s="569"/>
      <c r="G27" s="569"/>
      <c r="H27" s="569"/>
      <c r="I27" s="569"/>
      <c r="J27" s="570"/>
    </row>
    <row r="28" spans="2:10" s="84" customFormat="1" ht="86.1" customHeight="1">
      <c r="B28" s="575" t="s">
        <v>14</v>
      </c>
      <c r="C28" s="576"/>
      <c r="D28" s="576"/>
      <c r="E28" s="576"/>
      <c r="F28" s="576"/>
      <c r="G28" s="576"/>
      <c r="H28" s="576"/>
      <c r="I28" s="576"/>
      <c r="J28" s="577"/>
    </row>
    <row r="29" spans="2:10" s="84" customFormat="1" ht="5.25" customHeight="1">
      <c r="B29" s="568"/>
      <c r="C29" s="569"/>
      <c r="D29" s="569"/>
      <c r="E29" s="569"/>
      <c r="F29" s="569"/>
      <c r="G29" s="569"/>
      <c r="H29" s="569"/>
      <c r="I29" s="569"/>
      <c r="J29" s="570"/>
    </row>
    <row r="30" spans="2:10" s="84" customFormat="1" ht="103.35" customHeight="1" thickBot="1">
      <c r="B30" s="583" t="s">
        <v>15</v>
      </c>
      <c r="C30" s="584"/>
      <c r="D30" s="584"/>
      <c r="E30" s="584"/>
      <c r="F30" s="584"/>
      <c r="G30" s="584"/>
      <c r="H30" s="584"/>
      <c r="I30" s="584"/>
      <c r="J30" s="585"/>
    </row>
    <row r="31" spans="2:10" s="84" customFormat="1" ht="5.25" customHeight="1">
      <c r="B31" s="568"/>
      <c r="C31" s="569"/>
      <c r="D31" s="569"/>
      <c r="E31" s="569"/>
      <c r="F31" s="569"/>
      <c r="G31" s="569"/>
      <c r="H31" s="569"/>
      <c r="I31" s="569"/>
      <c r="J31" s="570"/>
    </row>
    <row r="32" spans="2:10" s="84" customFormat="1" ht="55.35" customHeight="1" thickBot="1">
      <c r="B32" s="575" t="s">
        <v>16</v>
      </c>
      <c r="C32" s="576"/>
      <c r="D32" s="576"/>
      <c r="E32" s="576"/>
      <c r="F32" s="576"/>
      <c r="G32" s="576"/>
      <c r="H32" s="576"/>
      <c r="I32" s="576"/>
      <c r="J32" s="577"/>
    </row>
    <row r="33" spans="2:10" s="84" customFormat="1" ht="14.1" customHeight="1">
      <c r="B33" s="578" t="s">
        <v>17</v>
      </c>
      <c r="C33" s="579"/>
      <c r="D33" s="579"/>
      <c r="E33" s="579"/>
      <c r="F33" s="579"/>
      <c r="G33" s="579"/>
      <c r="H33" s="579"/>
      <c r="I33" s="579"/>
      <c r="J33" s="580"/>
    </row>
    <row r="34" spans="2:10" s="84" customFormat="1" ht="14.1" customHeight="1">
      <c r="B34" s="89"/>
      <c r="J34" s="88"/>
    </row>
    <row r="35" spans="2:10" s="84" customFormat="1" ht="14.1" customHeight="1">
      <c r="B35" s="89"/>
      <c r="C35" s="95" t="s">
        <v>18</v>
      </c>
      <c r="D35" s="95" t="s">
        <v>19</v>
      </c>
      <c r="E35" s="95" t="s">
        <v>20</v>
      </c>
      <c r="F35" s="178"/>
      <c r="G35" s="184" t="s">
        <v>21</v>
      </c>
      <c r="H35" s="581" t="s">
        <v>17</v>
      </c>
      <c r="I35" s="582"/>
      <c r="J35" s="185"/>
    </row>
    <row r="36" spans="2:10" s="84" customFormat="1" ht="14.1" customHeight="1">
      <c r="B36" s="89"/>
      <c r="C36" s="96" t="s">
        <v>22</v>
      </c>
      <c r="D36" s="94" t="s">
        <v>23</v>
      </c>
      <c r="E36" s="177" t="s">
        <v>24</v>
      </c>
      <c r="F36" s="179"/>
      <c r="G36" s="180" t="s">
        <v>22</v>
      </c>
      <c r="H36" s="551" t="s">
        <v>25</v>
      </c>
      <c r="I36" s="552"/>
      <c r="J36" s="186"/>
    </row>
    <row r="37" spans="2:10" s="84" customFormat="1" ht="14.1" customHeight="1">
      <c r="B37" s="89"/>
      <c r="C37" s="97" t="s">
        <v>26</v>
      </c>
      <c r="D37" s="94" t="s">
        <v>27</v>
      </c>
      <c r="E37" s="177" t="s">
        <v>28</v>
      </c>
      <c r="F37" s="179"/>
      <c r="G37" s="181" t="s">
        <v>26</v>
      </c>
      <c r="H37" s="551" t="s">
        <v>29</v>
      </c>
      <c r="I37" s="552"/>
      <c r="J37" s="186"/>
    </row>
    <row r="38" spans="2:10" s="84" customFormat="1" ht="14.1" customHeight="1">
      <c r="B38" s="89"/>
      <c r="C38" s="99" t="s">
        <v>30</v>
      </c>
      <c r="D38" s="94" t="s">
        <v>31</v>
      </c>
      <c r="E38" s="177" t="s">
        <v>32</v>
      </c>
      <c r="F38" s="179"/>
      <c r="G38" s="182" t="s">
        <v>30</v>
      </c>
      <c r="H38" s="551" t="s">
        <v>33</v>
      </c>
      <c r="I38" s="552"/>
      <c r="J38" s="186"/>
    </row>
    <row r="39" spans="2:10" s="84" customFormat="1" ht="14.1" customHeight="1">
      <c r="B39" s="89"/>
      <c r="C39" s="98" t="s">
        <v>34</v>
      </c>
      <c r="D39" s="94" t="s">
        <v>35</v>
      </c>
      <c r="E39" s="177" t="s">
        <v>36</v>
      </c>
      <c r="F39" s="179"/>
      <c r="G39" s="183" t="s">
        <v>34</v>
      </c>
      <c r="H39" s="551" t="s">
        <v>37</v>
      </c>
      <c r="I39" s="552"/>
      <c r="J39" s="186"/>
    </row>
    <row r="40" spans="2:10" s="84" customFormat="1" ht="14.1" customHeight="1" thickBot="1">
      <c r="B40" s="90"/>
      <c r="C40" s="91"/>
      <c r="D40" s="91"/>
      <c r="E40" s="91"/>
      <c r="F40" s="91"/>
      <c r="G40" s="91"/>
      <c r="H40" s="91"/>
      <c r="I40" s="91"/>
      <c r="J40" s="92"/>
    </row>
    <row r="41" spans="2:10" s="84" customFormat="1" ht="14.1" customHeight="1"/>
    <row r="42" spans="2:10" s="84" customFormat="1" ht="14.1" customHeight="1"/>
    <row r="43" spans="2:10" s="84" customFormat="1" ht="14.1" customHeight="1"/>
    <row r="44" spans="2:10" s="84" customFormat="1" ht="14.1" customHeight="1"/>
    <row r="45" spans="2:10" s="84" customFormat="1" ht="14.1" customHeight="1"/>
    <row r="46" spans="2:10" s="84" customFormat="1" ht="14.1" customHeight="1"/>
    <row r="47" spans="2:10" s="84" customFormat="1" ht="14.1" customHeight="1"/>
    <row r="48" spans="2:10" s="84" customFormat="1" ht="14.1" customHeight="1"/>
    <row r="49" s="84" customFormat="1" ht="14.1" customHeight="1"/>
    <row r="50" s="84" customFormat="1" ht="14.1" customHeight="1"/>
    <row r="51" s="84" customFormat="1" ht="14.1" customHeight="1"/>
    <row r="52" s="84" customFormat="1" ht="14.1" customHeight="1"/>
    <row r="53" s="84" customFormat="1" ht="14.1" customHeight="1"/>
    <row r="54" s="84" customFormat="1" ht="14.1" customHeight="1"/>
    <row r="55" s="84" customFormat="1" ht="14.1" customHeight="1"/>
    <row r="56" s="84" customFormat="1" ht="14.1" customHeight="1"/>
    <row r="57" s="84" customFormat="1" ht="14.1" customHeight="1"/>
    <row r="58" s="84" customFormat="1" ht="14.1" customHeight="1"/>
    <row r="59" s="84" customFormat="1" ht="14.1" customHeight="1"/>
    <row r="60" s="84" customFormat="1" ht="14.1" customHeight="1"/>
    <row r="61" s="84" customFormat="1" ht="14.1" customHeight="1"/>
    <row r="62" s="84" customFormat="1" ht="14.1" customHeight="1"/>
    <row r="63" s="84" customFormat="1" ht="14.1" customHeight="1"/>
    <row r="64" s="84" customFormat="1" ht="14.1" customHeight="1"/>
    <row r="65" s="84" customFormat="1" ht="14.1" customHeight="1"/>
    <row r="66" s="84" customFormat="1" ht="14.1" customHeight="1"/>
    <row r="67" s="84" customFormat="1" ht="14.1" customHeight="1"/>
    <row r="68" s="84" customFormat="1" ht="14.1" customHeight="1"/>
    <row r="69" s="84" customFormat="1" ht="14.1" customHeight="1"/>
    <row r="70" s="84" customFormat="1" ht="14.1" customHeight="1"/>
    <row r="71" s="84" customFormat="1" ht="14.1" customHeight="1"/>
    <row r="72" s="84" customFormat="1" ht="14.1" customHeight="1"/>
    <row r="73" s="84" customFormat="1" ht="14.1" customHeight="1"/>
    <row r="74" s="84" customFormat="1" ht="14.1" customHeight="1"/>
    <row r="75" s="84" customFormat="1" ht="14.1" customHeight="1"/>
    <row r="76" s="84" customFormat="1" ht="14.1" customHeight="1"/>
    <row r="77" s="84" customFormat="1" ht="14.1" customHeight="1"/>
    <row r="78" s="84" customFormat="1" ht="14.1" customHeight="1"/>
    <row r="79" s="84" customFormat="1" ht="14.1" customHeight="1"/>
    <row r="80" s="84" customFormat="1" ht="14.1" customHeight="1"/>
    <row r="81" s="84" customFormat="1" ht="14.1" customHeight="1"/>
    <row r="82" s="84" customFormat="1" ht="14.1" customHeight="1"/>
    <row r="83" s="84" customFormat="1" ht="14.1" customHeight="1"/>
    <row r="84" s="84" customFormat="1" ht="14.1" customHeight="1"/>
    <row r="85" s="84" customFormat="1" ht="14.1" customHeight="1"/>
    <row r="86" s="84" customFormat="1" ht="14.1" customHeight="1"/>
    <row r="87" s="84" customFormat="1" ht="14.1" customHeight="1"/>
    <row r="88" s="84" customFormat="1" ht="14.1" customHeight="1"/>
    <row r="89" s="84" customFormat="1" ht="14.1" customHeight="1"/>
    <row r="90" s="84" customFormat="1" ht="14.1" customHeight="1"/>
    <row r="91" s="84" customFormat="1" ht="14.1" customHeight="1"/>
    <row r="92" s="84" customFormat="1" ht="14.1" customHeight="1"/>
    <row r="93" s="84" customFormat="1" ht="14.1" customHeight="1"/>
    <row r="94" s="84" customFormat="1" ht="14.1" customHeight="1"/>
    <row r="95" s="84" customFormat="1" ht="14.1" customHeight="1"/>
    <row r="96" s="84" customFormat="1" ht="14.1" customHeight="1"/>
    <row r="97" s="84" customFormat="1" ht="14.1" customHeight="1"/>
    <row r="98" s="84" customFormat="1" ht="14.1" customHeight="1"/>
    <row r="99" s="84" customFormat="1" ht="14.1" customHeight="1"/>
    <row r="100" s="84" customFormat="1" ht="14.1" customHeight="1"/>
    <row r="101" s="84" customFormat="1" ht="14.1" customHeight="1"/>
    <row r="102" s="84" customFormat="1" ht="14.1" customHeight="1"/>
    <row r="103" s="84" customFormat="1" ht="14.1" customHeight="1"/>
    <row r="104" s="84" customFormat="1" ht="14.1" customHeight="1"/>
    <row r="105" s="84" customFormat="1" ht="14.1" customHeight="1"/>
    <row r="106" s="84" customFormat="1" ht="14.1" customHeight="1"/>
    <row r="107" s="84" customFormat="1" ht="14.1" customHeight="1"/>
    <row r="108" s="84" customFormat="1" ht="14.1" customHeight="1"/>
    <row r="109" s="84" customFormat="1" ht="14.1" customHeight="1"/>
    <row r="110" s="84" customFormat="1" ht="14.1" customHeight="1"/>
    <row r="111" s="84" customFormat="1" ht="14.1" customHeight="1"/>
    <row r="112" s="84" customFormat="1" ht="14.1" customHeight="1"/>
    <row r="113" spans="1:1" s="84" customFormat="1" ht="14.1" customHeight="1"/>
    <row r="114" spans="1:1" s="84" customFormat="1" ht="14.1" customHeight="1"/>
    <row r="115" spans="1:1" s="84" customFormat="1" ht="14.1" customHeight="1"/>
    <row r="116" spans="1:1" s="84" customFormat="1" ht="14.1" customHeight="1"/>
    <row r="117" spans="1:1" s="84" customFormat="1" ht="14.1" customHeight="1"/>
    <row r="118" spans="1:1" s="84" customFormat="1" ht="14.1" customHeight="1"/>
    <row r="119" spans="1:1" s="84" customFormat="1" ht="14.1" customHeight="1"/>
    <row r="120" spans="1:1" s="84" customFormat="1" ht="14.1" customHeight="1"/>
    <row r="121" spans="1:1" s="84" customFormat="1" ht="14.1" customHeight="1"/>
    <row r="122" spans="1:1" s="84" customFormat="1" ht="14.1" customHeight="1"/>
    <row r="123" spans="1:1" s="84" customFormat="1" ht="14.1" customHeight="1"/>
    <row r="124" spans="1:1" s="93" customFormat="1" ht="14.1" customHeight="1">
      <c r="A124" s="84"/>
    </row>
    <row r="125" spans="1:1" s="93" customFormat="1" ht="14.1" customHeight="1">
      <c r="A125" s="84"/>
    </row>
    <row r="126" spans="1:1" s="93" customFormat="1" ht="14.1" customHeight="1">
      <c r="A126" s="84"/>
    </row>
    <row r="127" spans="1:1" s="84" customFormat="1" ht="14.1" customHeight="1"/>
    <row r="128" spans="1:1" s="84" customFormat="1" ht="14.1" customHeight="1"/>
    <row r="129" spans="1:1" s="84" customFormat="1" ht="14.1" customHeight="1">
      <c r="A129" s="93"/>
    </row>
    <row r="130" spans="1:1" s="93" customFormat="1" ht="14.1" customHeight="1"/>
    <row r="131" spans="1:1" s="93" customFormat="1" ht="14.1" customHeight="1"/>
    <row r="132" spans="1:1" s="84" customFormat="1" ht="14.1" customHeight="1"/>
    <row r="133" spans="1:1" s="84" customFormat="1" ht="14.1" customHeight="1"/>
    <row r="134" spans="1:1" s="84" customFormat="1" ht="14.1" customHeight="1"/>
    <row r="135" spans="1:1" ht="14.1" customHeight="1">
      <c r="A135" s="93"/>
    </row>
    <row r="136" spans="1:1" s="84" customFormat="1" ht="14.1" customHeight="1">
      <c r="A136" s="93"/>
    </row>
    <row r="137" spans="1:1" s="84" customFormat="1" ht="14.1" customHeight="1"/>
    <row r="138" spans="1:1" s="84" customFormat="1" ht="14.1" customHeight="1"/>
    <row r="139" spans="1:1" s="84" customFormat="1" ht="14.1" customHeight="1"/>
    <row r="140" spans="1:1" s="84" customFormat="1" ht="14.1" customHeight="1">
      <c r="A140" s="82"/>
    </row>
    <row r="141" spans="1:1" s="84" customFormat="1" ht="14.1" customHeight="1"/>
    <row r="142" spans="1:1" s="84" customFormat="1" ht="14.1" customHeight="1"/>
    <row r="143" spans="1:1" s="84" customFormat="1" ht="14.1" customHeight="1"/>
    <row r="144" spans="1:1" s="84" customFormat="1" ht="14.1" customHeight="1"/>
    <row r="145" s="84" customFormat="1" ht="14.1" customHeight="1"/>
    <row r="146" s="84" customFormat="1" ht="14.1" customHeight="1"/>
    <row r="147" s="84" customFormat="1" ht="14.1" customHeight="1"/>
    <row r="148" s="84" customFormat="1" ht="14.1" customHeight="1"/>
    <row r="149" s="84" customFormat="1" ht="14.1" customHeight="1"/>
    <row r="150" s="84" customFormat="1" ht="14.1" customHeight="1"/>
    <row r="151" s="84" customFormat="1" ht="14.1" customHeight="1"/>
    <row r="152" s="84" customFormat="1" ht="14.1" customHeight="1"/>
    <row r="153" s="84" customFormat="1" ht="14.1" customHeight="1"/>
    <row r="154" s="84" customFormat="1" ht="14.1" customHeight="1"/>
    <row r="155" s="84" customFormat="1" ht="14.1" customHeight="1"/>
    <row r="156" s="84" customFormat="1" ht="14.1" customHeight="1"/>
    <row r="157" s="84" customFormat="1" ht="14.1" customHeight="1"/>
    <row r="158" s="84" customFormat="1" ht="14.1" customHeight="1"/>
    <row r="159" s="84" customFormat="1" ht="14.1" customHeight="1"/>
    <row r="160" s="84" customFormat="1" ht="14.1" customHeight="1"/>
    <row r="161" spans="1:1" s="84" customFormat="1" ht="14.1" customHeight="1"/>
    <row r="162" spans="1:1" s="84" customFormat="1" ht="14.1" customHeight="1"/>
    <row r="163" spans="1:1" s="93" customFormat="1" ht="14.1" customHeight="1">
      <c r="A163" s="84"/>
    </row>
    <row r="164" spans="1:1" s="93" customFormat="1" ht="14.1" customHeight="1">
      <c r="A164" s="84"/>
    </row>
    <row r="165" spans="1:1" s="84" customFormat="1" ht="14.1" customHeight="1"/>
    <row r="166" spans="1:1" s="84" customFormat="1" ht="14.1" customHeight="1"/>
    <row r="167" spans="1:1" s="84" customFormat="1" ht="14.1" customHeight="1"/>
    <row r="168" spans="1:1" s="84" customFormat="1" ht="14.1" customHeight="1">
      <c r="A168" s="93"/>
    </row>
    <row r="169" spans="1:1" s="84" customFormat="1" ht="14.1" customHeight="1">
      <c r="A169" s="93"/>
    </row>
    <row r="170" spans="1:1" s="84" customFormat="1" ht="14.1" customHeight="1"/>
    <row r="171" spans="1:1" s="84" customFormat="1" ht="14.1" customHeight="1"/>
    <row r="172" spans="1:1" s="84" customFormat="1" ht="14.1" customHeight="1"/>
    <row r="173" spans="1:1" s="84" customFormat="1" ht="14.1" customHeight="1"/>
    <row r="174" spans="1:1" s="84" customFormat="1" ht="14.1" customHeight="1"/>
    <row r="175" spans="1:1" s="84" customFormat="1" ht="14.1" customHeight="1"/>
    <row r="176" spans="1:1" s="84" customFormat="1" ht="14.1" customHeight="1"/>
    <row r="177" s="84" customFormat="1" ht="14.1" customHeight="1"/>
    <row r="178" s="84" customFormat="1" ht="14.1" customHeight="1"/>
    <row r="179" s="84" customFormat="1" ht="14.1" customHeight="1"/>
    <row r="180" s="84" customFormat="1" ht="14.1" customHeight="1"/>
    <row r="181" s="84" customFormat="1" ht="14.1" customHeight="1"/>
    <row r="182" s="84" customFormat="1" ht="14.1" customHeight="1"/>
    <row r="183" s="84" customFormat="1" ht="14.1" customHeight="1"/>
    <row r="184" s="84" customFormat="1" ht="14.1" customHeight="1"/>
    <row r="185" s="84" customFormat="1" ht="14.1" customHeight="1"/>
    <row r="186" s="84" customFormat="1" ht="14.1" customHeight="1"/>
    <row r="187" s="84" customFormat="1" ht="14.1" customHeight="1"/>
    <row r="188" s="84" customFormat="1" ht="14.1" customHeight="1"/>
    <row r="189" s="84" customFormat="1" ht="14.1" customHeight="1"/>
    <row r="190" s="84" customFormat="1" ht="14.1" customHeight="1"/>
    <row r="191" s="84" customFormat="1" ht="14.1" customHeight="1"/>
    <row r="192" s="84" customFormat="1" ht="14.1" customHeight="1"/>
    <row r="193" spans="1:1" ht="14.1" customHeight="1">
      <c r="A193" s="84"/>
    </row>
    <row r="194" spans="1:1" ht="14.1" customHeight="1">
      <c r="A194" s="84"/>
    </row>
    <row r="195" spans="1:1" s="84" customFormat="1" ht="14.1" customHeight="1"/>
    <row r="196" spans="1:1" s="84" customFormat="1" ht="14.1" customHeight="1"/>
    <row r="197" spans="1:1" s="84" customFormat="1" ht="14.1" customHeight="1"/>
    <row r="198" spans="1:1" s="84" customFormat="1" ht="14.1" customHeight="1">
      <c r="A198" s="82"/>
    </row>
    <row r="199" spans="1:1" s="84" customFormat="1" ht="14.1" customHeight="1">
      <c r="A199" s="82"/>
    </row>
    <row r="200" spans="1:1" s="84" customFormat="1" ht="14.1" customHeight="1"/>
    <row r="201" spans="1:1" s="84" customFormat="1" ht="14.1" customHeight="1"/>
    <row r="202" spans="1:1" s="84" customFormat="1" ht="14.1" customHeight="1"/>
    <row r="203" spans="1:1" s="84" customFormat="1" ht="14.1" customHeight="1"/>
    <row r="204" spans="1:1" s="84" customFormat="1" ht="14.1" customHeight="1"/>
    <row r="205" spans="1:1" s="84" customFormat="1" ht="14.1" customHeight="1"/>
    <row r="206" spans="1:1" s="84" customFormat="1" ht="14.1" customHeight="1"/>
    <row r="207" spans="1:1" s="84" customFormat="1" ht="14.1" customHeight="1"/>
    <row r="208" spans="1:1" s="84" customFormat="1" ht="14.1" customHeight="1"/>
    <row r="209" spans="1:1" s="84" customFormat="1" ht="14.1" customHeight="1"/>
    <row r="210" spans="1:1" s="84" customFormat="1" ht="14.1" customHeight="1"/>
    <row r="211" spans="1:1" s="84" customFormat="1" ht="14.1" customHeight="1"/>
    <row r="212" spans="1:1" s="84" customFormat="1" ht="14.1" customHeight="1"/>
    <row r="213" spans="1:1" ht="14.1" customHeight="1">
      <c r="A213" s="84"/>
    </row>
    <row r="214" spans="1:1" s="84" customFormat="1" ht="14.1" customHeight="1"/>
    <row r="215" spans="1:1" s="84" customFormat="1" ht="14.1" customHeight="1"/>
    <row r="216" spans="1:1" s="84" customFormat="1" ht="14.1" customHeight="1"/>
    <row r="217" spans="1:1" s="84" customFormat="1" ht="14.1" customHeight="1"/>
    <row r="218" spans="1:1" s="84" customFormat="1" ht="14.1" customHeight="1">
      <c r="A218" s="82"/>
    </row>
    <row r="219" spans="1:1" s="84" customFormat="1" ht="14.1" customHeight="1"/>
    <row r="220" spans="1:1" s="84" customFormat="1" ht="14.1" customHeight="1"/>
    <row r="221" spans="1:1" s="84" customFormat="1" ht="14.1" customHeight="1"/>
    <row r="222" spans="1:1" s="84" customFormat="1" ht="14.1" customHeight="1"/>
    <row r="223" spans="1:1" s="84" customFormat="1" ht="14.1" customHeight="1"/>
    <row r="224" spans="1:1" s="84" customFormat="1" ht="14.1" customHeight="1"/>
    <row r="225" s="84" customFormat="1" ht="14.1" customHeight="1"/>
    <row r="226" s="84" customFormat="1" ht="14.1" customHeight="1"/>
    <row r="227" s="84" customFormat="1" ht="14.1" customHeight="1"/>
    <row r="228" s="84" customFormat="1" ht="14.1" customHeight="1"/>
    <row r="229" s="84" customFormat="1" ht="14.1" customHeight="1"/>
    <row r="230" s="84" customFormat="1" ht="14.1" customHeight="1"/>
    <row r="231" s="84" customFormat="1" ht="14.1" customHeight="1"/>
    <row r="232" s="84" customFormat="1" ht="14.1" customHeight="1"/>
    <row r="233" s="84" customFormat="1" ht="14.1" customHeight="1"/>
    <row r="234" s="84" customFormat="1" ht="14.1" customHeight="1"/>
    <row r="235" s="84" customFormat="1" ht="14.1" customHeight="1"/>
    <row r="236" s="84" customFormat="1" ht="14.1" customHeight="1"/>
    <row r="237" s="84" customFormat="1" ht="14.1" customHeight="1"/>
    <row r="238" s="84" customFormat="1" ht="14.1" customHeight="1"/>
    <row r="239" s="84" customFormat="1" ht="14.1" customHeight="1"/>
    <row r="240" s="84" customFormat="1" ht="14.1" customHeight="1"/>
    <row r="241" spans="1:1" s="84" customFormat="1" ht="14.1" customHeight="1"/>
    <row r="242" spans="1:1" s="84" customFormat="1" ht="14.1" customHeight="1"/>
    <row r="243" spans="1:1" s="84" customFormat="1" ht="14.1" customHeight="1"/>
    <row r="244" spans="1:1" ht="14.1" customHeight="1">
      <c r="A244" s="84"/>
    </row>
    <row r="245" spans="1:1" s="84" customFormat="1" ht="14.1" customHeight="1"/>
    <row r="246" spans="1:1" s="84" customFormat="1" ht="14.1" customHeight="1"/>
    <row r="247" spans="1:1" s="84" customFormat="1" ht="14.1" customHeight="1"/>
    <row r="248" spans="1:1" s="84" customFormat="1" ht="14.1" customHeight="1"/>
    <row r="249" spans="1:1" s="84" customFormat="1" ht="14.1" customHeight="1">
      <c r="A249" s="82"/>
    </row>
    <row r="250" spans="1:1" s="84" customFormat="1" ht="14.1" customHeight="1"/>
    <row r="251" spans="1:1" s="84" customFormat="1" ht="14.1" customHeight="1"/>
    <row r="252" spans="1:1" s="84" customFormat="1" ht="14.1" customHeight="1"/>
    <row r="253" spans="1:1" s="84" customFormat="1" ht="14.1" customHeight="1"/>
    <row r="254" spans="1:1" ht="14.1" customHeight="1">
      <c r="A254" s="84"/>
    </row>
    <row r="255" spans="1:1" ht="14.1" customHeight="1">
      <c r="A255" s="84"/>
    </row>
    <row r="256" spans="1:1" ht="14.1" customHeight="1">
      <c r="A256" s="84"/>
    </row>
    <row r="257" spans="1:1" ht="14.1" customHeight="1">
      <c r="A257" s="84"/>
    </row>
    <row r="258" spans="1:1" ht="14.1" customHeight="1">
      <c r="A258" s="84"/>
    </row>
    <row r="259" spans="1:1" ht="14.1" customHeight="1"/>
    <row r="260" spans="1:1" ht="14.1" customHeight="1"/>
    <row r="261" spans="1:1" s="84" customFormat="1" ht="14.1" customHeight="1">
      <c r="A261" s="82"/>
    </row>
    <row r="262" spans="1:1" s="84" customFormat="1" ht="14.1" customHeight="1">
      <c r="A262" s="82"/>
    </row>
    <row r="263" spans="1:1" s="84" customFormat="1" ht="14.1" customHeight="1">
      <c r="A263" s="82"/>
    </row>
    <row r="264" spans="1:1" ht="14.1" customHeight="1"/>
    <row r="265" spans="1:1" ht="14.1" customHeight="1"/>
    <row r="266" spans="1:1" ht="14.1" customHeight="1">
      <c r="A266" s="84"/>
    </row>
    <row r="267" spans="1:1" ht="14.1" customHeight="1">
      <c r="A267" s="84"/>
    </row>
    <row r="268" spans="1:1" ht="14.1" customHeight="1">
      <c r="A268" s="84"/>
    </row>
    <row r="269" spans="1:1" ht="14.1" customHeight="1"/>
    <row r="270" spans="1:1" ht="14.1" customHeight="1"/>
    <row r="271" spans="1:1" ht="14.1" customHeight="1"/>
    <row r="272" spans="1:1" s="84" customFormat="1" ht="14.1" customHeight="1">
      <c r="A272" s="82"/>
    </row>
    <row r="273" spans="1:1" ht="14.1" customHeight="1"/>
    <row r="274" spans="1:1" ht="14.1" customHeight="1"/>
    <row r="275" spans="1:1" ht="14.1" customHeight="1"/>
    <row r="276" spans="1:1" ht="14.1" customHeight="1"/>
    <row r="277" spans="1:1">
      <c r="A277" s="84"/>
    </row>
  </sheetData>
  <mergeCells count="40">
    <mergeCell ref="B4:D4"/>
    <mergeCell ref="H4:I4"/>
    <mergeCell ref="B6:D6"/>
    <mergeCell ref="H6:I6"/>
    <mergeCell ref="B8:D8"/>
    <mergeCell ref="H8:I8"/>
    <mergeCell ref="H38:I38"/>
    <mergeCell ref="H37:I37"/>
    <mergeCell ref="H36:I36"/>
    <mergeCell ref="H35:I35"/>
    <mergeCell ref="B14:D14"/>
    <mergeCell ref="B30:J30"/>
    <mergeCell ref="B33:J33"/>
    <mergeCell ref="B32:J32"/>
    <mergeCell ref="B31:J31"/>
    <mergeCell ref="H12:I12"/>
    <mergeCell ref="H10:I10"/>
    <mergeCell ref="H14:I14"/>
    <mergeCell ref="B28:J28"/>
    <mergeCell ref="B26:J26"/>
    <mergeCell ref="B23:J23"/>
    <mergeCell ref="B27:J27"/>
    <mergeCell ref="B24:J24"/>
    <mergeCell ref="B25:J25"/>
    <mergeCell ref="H39:I39"/>
    <mergeCell ref="B2:J2"/>
    <mergeCell ref="B16:J16"/>
    <mergeCell ref="B17:E17"/>
    <mergeCell ref="G21:J21"/>
    <mergeCell ref="G20:J20"/>
    <mergeCell ref="G19:J19"/>
    <mergeCell ref="G18:J18"/>
    <mergeCell ref="B21:E21"/>
    <mergeCell ref="B20:E20"/>
    <mergeCell ref="G17:J17"/>
    <mergeCell ref="B19:E19"/>
    <mergeCell ref="B18:E18"/>
    <mergeCell ref="B12:D12"/>
    <mergeCell ref="B10:D10"/>
    <mergeCell ref="B29:J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5654E-9610-8245-BC96-A034CC3DDC1F}">
  <sheetPr>
    <tabColor theme="5" tint="-0.499984740745262"/>
  </sheetPr>
  <dimension ref="B1:BC393"/>
  <sheetViews>
    <sheetView showGridLines="0" tabSelected="1" zoomScaleNormal="100" workbookViewId="0">
      <pane xSplit="3" ySplit="3" topLeftCell="D35" activePane="bottomRight" state="frozen"/>
      <selection pane="bottomRight" activeCell="C35" sqref="C35"/>
      <selection pane="bottomLeft" activeCell="A4" sqref="A4"/>
      <selection pane="topRight" activeCell="D1" sqref="D1"/>
    </sheetView>
  </sheetViews>
  <sheetFormatPr defaultColWidth="8.5" defaultRowHeight="14.25"/>
  <cols>
    <col min="1" max="1" width="2" style="349" customWidth="1"/>
    <col min="2" max="2" width="14.625" style="347" bestFit="1" customWidth="1"/>
    <col min="3" max="3" width="108.5" style="348" customWidth="1"/>
    <col min="4" max="4" width="9.125" style="263" customWidth="1"/>
    <col min="5" max="5" width="9" style="263" customWidth="1"/>
    <col min="6" max="6" width="7.625" style="263" customWidth="1"/>
    <col min="7" max="7" width="10.625" style="264" customWidth="1"/>
    <col min="8" max="8" width="15.5" style="23" customWidth="1"/>
    <col min="9" max="9" width="19.5" style="347" customWidth="1"/>
    <col min="10" max="10" width="8.5" style="349" customWidth="1"/>
    <col min="11" max="11" width="19.375" style="347" hidden="1" customWidth="1"/>
    <col min="12" max="12" width="20.375" style="347" hidden="1" customWidth="1"/>
    <col min="13" max="13" width="58.625" style="347" hidden="1" customWidth="1"/>
    <col min="14" max="14" width="7.125" style="349" hidden="1" customWidth="1"/>
    <col min="15" max="15" width="8.5" style="349" hidden="1" customWidth="1"/>
    <col min="16" max="16" width="0" style="349" hidden="1" customWidth="1"/>
    <col min="17" max="17" width="24" style="349" hidden="1" customWidth="1"/>
    <col min="18" max="16384" width="8.5" style="349"/>
  </cols>
  <sheetData>
    <row r="1" spans="2:14" ht="6.75" customHeight="1" thickBot="1"/>
    <row r="2" spans="2:14" s="350" customFormat="1" ht="50.85" customHeight="1" thickBot="1">
      <c r="B2" s="68" t="s">
        <v>38</v>
      </c>
      <c r="C2" s="265" t="s">
        <v>39</v>
      </c>
      <c r="D2" s="472" t="s">
        <v>40</v>
      </c>
      <c r="E2" s="473"/>
      <c r="F2" s="473"/>
      <c r="G2" s="474"/>
      <c r="H2" s="69" t="s">
        <v>17</v>
      </c>
      <c r="I2" s="69" t="s">
        <v>41</v>
      </c>
      <c r="K2" s="351" t="s">
        <v>42</v>
      </c>
      <c r="L2" s="351" t="s">
        <v>43</v>
      </c>
      <c r="M2" s="352" t="s">
        <v>44</v>
      </c>
      <c r="N2" s="352" t="s">
        <v>45</v>
      </c>
    </row>
    <row r="3" spans="2:14" ht="15" thickBot="1">
      <c r="B3" s="23"/>
      <c r="C3" s="263"/>
      <c r="K3" s="353"/>
      <c r="L3" s="353"/>
      <c r="M3" s="353"/>
    </row>
    <row r="4" spans="2:14" s="355" customFormat="1" ht="40.35" customHeight="1">
      <c r="B4" s="36" t="s">
        <v>46</v>
      </c>
      <c r="C4" s="159" t="s">
        <v>47</v>
      </c>
      <c r="D4" s="196"/>
      <c r="E4" s="196"/>
      <c r="F4" s="196"/>
      <c r="G4" s="197"/>
      <c r="H4" s="161"/>
      <c r="I4" s="354"/>
      <c r="K4" s="356"/>
      <c r="L4" s="356"/>
      <c r="M4" s="357"/>
      <c r="N4" s="356"/>
    </row>
    <row r="5" spans="2:14" s="355" customFormat="1" ht="30" customHeight="1">
      <c r="B5" s="2"/>
      <c r="C5" s="191" t="s">
        <v>48</v>
      </c>
      <c r="D5" s="266"/>
      <c r="E5" s="267"/>
      <c r="F5" s="267"/>
      <c r="G5" s="268"/>
      <c r="H5" s="194" t="s">
        <v>49</v>
      </c>
      <c r="I5" s="100"/>
      <c r="K5" s="359" t="str">
        <f>IF(I5="Yes","Green",IF(I5="No","Red",""))</f>
        <v/>
      </c>
      <c r="L5" s="360" t="str">
        <f>IF(K5="Red",1,IF(K5="Yellow",2,IF(K5="Green",3,"")))</f>
        <v/>
      </c>
      <c r="M5" s="361"/>
      <c r="N5" s="362"/>
    </row>
    <row r="6" spans="2:14" s="355" customFormat="1" ht="30" customHeight="1">
      <c r="B6" s="2"/>
      <c r="C6" s="191" t="s">
        <v>50</v>
      </c>
      <c r="D6" s="269"/>
      <c r="E6" s="270"/>
      <c r="F6" s="270"/>
      <c r="G6" s="271"/>
      <c r="H6" s="194" t="s">
        <v>51</v>
      </c>
      <c r="I6" s="100"/>
      <c r="K6" s="363" t="str">
        <f>IF(I6="Yes","Green",IF(I6="No","Yellow",""))</f>
        <v/>
      </c>
      <c r="L6" s="360" t="str">
        <f>IF(K6="Red",1,IF(K6="Yellow",2,IF(K6="Green",3,"")))</f>
        <v/>
      </c>
      <c r="M6" s="361"/>
      <c r="N6" s="362"/>
    </row>
    <row r="7" spans="2:14" s="355" customFormat="1" ht="30" customHeight="1" thickBot="1">
      <c r="B7" s="2"/>
      <c r="C7" s="191" t="s">
        <v>52</v>
      </c>
      <c r="D7" s="272"/>
      <c r="E7" s="273"/>
      <c r="F7" s="273"/>
      <c r="G7" s="274"/>
      <c r="H7" s="194" t="s">
        <v>53</v>
      </c>
      <c r="I7" s="101"/>
      <c r="K7" s="363" t="str">
        <f>IF(I7="Yes","Green",IF(I7="No","Yellow",""))</f>
        <v/>
      </c>
      <c r="L7" s="360" t="str">
        <f>IF(K7="Red",1,IF(K7="Yellow",2,IF(K7="Green",3,"")))</f>
        <v/>
      </c>
      <c r="M7" s="364"/>
      <c r="N7" s="362"/>
    </row>
    <row r="8" spans="2:14" s="355" customFormat="1" ht="39.6" customHeight="1" thickBot="1">
      <c r="B8" s="3"/>
      <c r="C8" s="275" t="s">
        <v>54</v>
      </c>
      <c r="D8" s="276"/>
      <c r="E8" s="276"/>
      <c r="F8" s="276"/>
      <c r="G8" s="276"/>
      <c r="H8" s="195"/>
      <c r="I8" s="67" t="str">
        <f>IF(L8="","",IF(L8&lt;6,"Needs Urgent Remediation",IF(OR(L8=6,L8=7),"Needs Improvement",IF(L8&gt;=8,"Meets Standard"))))</f>
        <v>Needs Urgent Remediation</v>
      </c>
      <c r="K8" s="365"/>
      <c r="L8" s="366">
        <f>IF(COUNTA(L5:L7)=0,"",SUM(L5:L7))</f>
        <v>0</v>
      </c>
      <c r="M8" s="367" t="s">
        <v>55</v>
      </c>
      <c r="N8" s="368">
        <f>IF(I8="Not Applicable",0,IF(I8="Needs Urgent Remediation",1,IF(I8="Needs Improvement",2,IF(I8="Meets Standard",3,""))))</f>
        <v>1</v>
      </c>
    </row>
    <row r="9" spans="2:14" ht="15" thickBot="1">
      <c r="B9" s="23"/>
      <c r="C9" s="263"/>
      <c r="K9" s="353"/>
      <c r="L9" s="353"/>
      <c r="M9" s="353"/>
    </row>
    <row r="10" spans="2:14" s="355" customFormat="1" ht="40.35" customHeight="1">
      <c r="B10" s="36" t="s">
        <v>56</v>
      </c>
      <c r="C10" s="159" t="s">
        <v>57</v>
      </c>
      <c r="D10" s="196"/>
      <c r="E10" s="196"/>
      <c r="F10" s="196"/>
      <c r="G10" s="197"/>
      <c r="H10" s="161"/>
      <c r="I10" s="354"/>
      <c r="K10" s="369"/>
      <c r="L10" s="369"/>
      <c r="M10" s="369"/>
      <c r="N10" s="356"/>
    </row>
    <row r="11" spans="2:14" s="355" customFormat="1" ht="30" customHeight="1">
      <c r="B11" s="2"/>
      <c r="C11" s="191" t="s">
        <v>58</v>
      </c>
      <c r="D11" s="475"/>
      <c r="E11" s="476"/>
      <c r="F11" s="476"/>
      <c r="G11" s="477"/>
      <c r="H11" s="194" t="s">
        <v>49</v>
      </c>
      <c r="I11" s="100"/>
      <c r="K11" s="359" t="str">
        <f>IF(I11="Yes","Green",IF(I11="No","Red",""))</f>
        <v/>
      </c>
      <c r="L11" s="360" t="str">
        <f>IF(K11="Red",1,IF(K11="Yellow",2,IF(K11="Green",3,"")))</f>
        <v/>
      </c>
      <c r="M11" s="358"/>
      <c r="N11" s="362"/>
    </row>
    <row r="12" spans="2:14" s="355" customFormat="1" ht="66" customHeight="1">
      <c r="B12" s="2"/>
      <c r="C12" s="191" t="s">
        <v>59</v>
      </c>
      <c r="D12" s="478"/>
      <c r="E12" s="479"/>
      <c r="F12" s="479"/>
      <c r="G12" s="480"/>
      <c r="H12" s="194" t="s">
        <v>60</v>
      </c>
      <c r="I12" s="100"/>
      <c r="K12" s="363" t="str">
        <f>IF(I12="Yes","Green",IF(I12="No","Yellow",""))</f>
        <v/>
      </c>
      <c r="L12" s="360" t="str">
        <f>IF(K12="Red",1,IF(K12="Yellow",2,IF(K12="Green",3,"")))</f>
        <v/>
      </c>
      <c r="M12" s="358"/>
      <c r="N12" s="362"/>
    </row>
    <row r="13" spans="2:14" s="355" customFormat="1" ht="30" customHeight="1" thickBot="1">
      <c r="B13" s="2"/>
      <c r="C13" s="191" t="s">
        <v>61</v>
      </c>
      <c r="D13" s="481"/>
      <c r="E13" s="482"/>
      <c r="F13" s="482"/>
      <c r="G13" s="483"/>
      <c r="H13" s="194" t="s">
        <v>60</v>
      </c>
      <c r="I13" s="100"/>
      <c r="K13" s="359" t="str">
        <f>IF(I13="Yes","Green",IF(I13="No","Red",""))</f>
        <v/>
      </c>
      <c r="L13" s="360" t="str">
        <f>IF(K13="Red",1,IF(K13="Yellow",2,IF(K13="Green",3,"")))</f>
        <v/>
      </c>
      <c r="M13" s="358"/>
      <c r="N13" s="362"/>
    </row>
    <row r="14" spans="2:14" s="355" customFormat="1" ht="30.75" thickBot="1">
      <c r="B14" s="3"/>
      <c r="C14" s="277" t="s">
        <v>62</v>
      </c>
      <c r="D14" s="484"/>
      <c r="E14" s="485"/>
      <c r="F14" s="485"/>
      <c r="G14" s="486"/>
      <c r="H14" s="4"/>
      <c r="I14" s="67" t="str">
        <f>IF(L14="","",IF(L14&lt;6,"Needs Urgent Remediation",IF(OR(L14=6,L14=7),"Needs Improvement",IF(L14&gt;=8,"Meets Standard"))))</f>
        <v>Needs Urgent Remediation</v>
      </c>
      <c r="K14" s="365"/>
      <c r="L14" s="366">
        <f>IF(COUNTA(L11:L13)=0,"",SUM(L11:L13))</f>
        <v>0</v>
      </c>
      <c r="M14" s="367" t="s">
        <v>55</v>
      </c>
      <c r="N14" s="368">
        <f>IF(I14="Not Applicable",0,IF(I14="Needs Urgent Remediation",1,IF(I14="Needs Improvement",2,IF(I14="Meets Standard",3,""))))</f>
        <v>1</v>
      </c>
    </row>
    <row r="15" spans="2:14" ht="15" thickBot="1">
      <c r="B15" s="23"/>
      <c r="C15" s="263"/>
      <c r="K15" s="353"/>
      <c r="L15" s="353"/>
      <c r="M15" s="353"/>
    </row>
    <row r="16" spans="2:14" s="355" customFormat="1" ht="62.25" customHeight="1">
      <c r="B16" s="36" t="s">
        <v>63</v>
      </c>
      <c r="C16" s="159" t="s">
        <v>64</v>
      </c>
      <c r="D16" s="160"/>
      <c r="E16" s="160"/>
      <c r="F16" s="160"/>
      <c r="G16" s="161"/>
      <c r="H16" s="161"/>
      <c r="I16" s="354"/>
      <c r="K16" s="369"/>
      <c r="L16" s="369"/>
      <c r="M16" s="369"/>
      <c r="N16" s="356"/>
    </row>
    <row r="17" spans="2:14" s="355" customFormat="1" ht="42.75">
      <c r="B17" s="2"/>
      <c r="C17" s="42" t="s">
        <v>65</v>
      </c>
      <c r="D17" s="475"/>
      <c r="E17" s="476"/>
      <c r="F17" s="476"/>
      <c r="G17" s="477"/>
      <c r="H17" s="63" t="s">
        <v>49</v>
      </c>
      <c r="I17" s="100"/>
      <c r="K17" s="359" t="str">
        <f>IF(I17="Yes","Green",IF(I17="No","Red",""))</f>
        <v/>
      </c>
      <c r="L17" s="360" t="str">
        <f>IF(K17="Red",1,IF(K17="Yellow",2,IF(K17="Green",3,"")))</f>
        <v/>
      </c>
      <c r="M17" s="358"/>
      <c r="N17" s="362"/>
    </row>
    <row r="18" spans="2:14" s="355" customFormat="1" ht="42.75">
      <c r="B18" s="2"/>
      <c r="C18" s="42" t="s">
        <v>66</v>
      </c>
      <c r="D18" s="478"/>
      <c r="E18" s="479"/>
      <c r="F18" s="479"/>
      <c r="G18" s="480"/>
      <c r="H18" s="63" t="s">
        <v>60</v>
      </c>
      <c r="I18" s="100"/>
      <c r="K18" s="363" t="str">
        <f>IF(I18="Yes","Green",IF(I18="No","Yellow",""))</f>
        <v/>
      </c>
      <c r="L18" s="360" t="str">
        <f>IF(K18="Red",1,IF(K18="Yellow",2,IF(K18="Green",3,"")))</f>
        <v/>
      </c>
      <c r="M18" s="358"/>
      <c r="N18" s="362"/>
    </row>
    <row r="19" spans="2:14" s="355" customFormat="1" ht="30" customHeight="1" thickBot="1">
      <c r="B19" s="2"/>
      <c r="C19" s="42" t="s">
        <v>67</v>
      </c>
      <c r="D19" s="478"/>
      <c r="E19" s="479"/>
      <c r="F19" s="479"/>
      <c r="G19" s="480"/>
      <c r="H19" s="63" t="s">
        <v>49</v>
      </c>
      <c r="I19" s="100"/>
      <c r="K19" s="359" t="str">
        <f>IF(I19="Yes","Green",IF(I19="No","Red",""))</f>
        <v/>
      </c>
      <c r="L19" s="360" t="str">
        <f>IF(K19="Red",1,IF(K19="Yellow",2,IF(K19="Green",3,"")))</f>
        <v/>
      </c>
      <c r="M19" s="358"/>
      <c r="N19" s="362"/>
    </row>
    <row r="20" spans="2:14" s="355" customFormat="1" ht="30.75" thickBot="1">
      <c r="B20" s="3"/>
      <c r="C20" s="275" t="s">
        <v>68</v>
      </c>
      <c r="D20" s="278"/>
      <c r="E20" s="279"/>
      <c r="F20" s="279"/>
      <c r="G20" s="280"/>
      <c r="H20" s="195"/>
      <c r="I20" s="67" t="str">
        <f>IF(L20="","",IF(L20&lt;6,"Needs Urgent Remediation",IF(OR(L20=6,L20=7),"Needs Improvement",IF(L20&gt;=8,"Meets Standard"))))</f>
        <v>Needs Urgent Remediation</v>
      </c>
      <c r="K20" s="365"/>
      <c r="L20" s="366">
        <f>IF(COUNTA(L17:L19)=0,"",SUM(L17:L19))</f>
        <v>0</v>
      </c>
      <c r="M20" s="367" t="s">
        <v>55</v>
      </c>
      <c r="N20" s="368">
        <f>IF(I20="Not Applicable",0,IF(I20="Needs Urgent Remediation",1,IF(I20="Needs Improvement",2,IF(I20="Meets Standard",3,""))))</f>
        <v>1</v>
      </c>
    </row>
    <row r="21" spans="2:14" ht="15" thickBot="1">
      <c r="B21" s="23"/>
      <c r="C21" s="263"/>
      <c r="K21" s="353"/>
      <c r="L21" s="353"/>
      <c r="M21" s="353"/>
    </row>
    <row r="22" spans="2:14" s="355" customFormat="1" ht="40.35" customHeight="1">
      <c r="B22" s="36" t="s">
        <v>69</v>
      </c>
      <c r="C22" s="159" t="s">
        <v>70</v>
      </c>
      <c r="D22" s="160"/>
      <c r="E22" s="160"/>
      <c r="F22" s="160"/>
      <c r="G22" s="161"/>
      <c r="H22" s="161"/>
      <c r="I22" s="354"/>
      <c r="K22" s="370"/>
      <c r="L22" s="369"/>
      <c r="M22" s="369"/>
      <c r="N22" s="356"/>
    </row>
    <row r="23" spans="2:14" s="355" customFormat="1" ht="30" customHeight="1">
      <c r="B23" s="2"/>
      <c r="C23" s="42" t="s">
        <v>71</v>
      </c>
      <c r="D23" s="475"/>
      <c r="E23" s="476"/>
      <c r="F23" s="476"/>
      <c r="G23" s="477"/>
      <c r="H23" s="63" t="s">
        <v>49</v>
      </c>
      <c r="I23" s="100"/>
      <c r="K23" s="359" t="str">
        <f>IF(I23="Yes","Green",IF(I23="No","Red",""))</f>
        <v/>
      </c>
      <c r="L23" s="360" t="str">
        <f>IF(K23="Red",1,IF(K23="Yellow",2,IF(K23="Green",3,"")))</f>
        <v/>
      </c>
      <c r="M23" s="358"/>
      <c r="N23" s="362"/>
    </row>
    <row r="24" spans="2:14" s="355" customFormat="1" ht="30" customHeight="1">
      <c r="B24" s="2"/>
      <c r="C24" s="42" t="s">
        <v>72</v>
      </c>
      <c r="D24" s="478"/>
      <c r="E24" s="479"/>
      <c r="F24" s="479"/>
      <c r="G24" s="480"/>
      <c r="H24" s="63" t="s">
        <v>60</v>
      </c>
      <c r="I24" s="100"/>
      <c r="K24" s="363" t="str">
        <f>IF(I24="Yes","Green",IF(I24="No","Yellow",""))</f>
        <v/>
      </c>
      <c r="L24" s="360" t="str">
        <f>IF(K24="Red",1,IF(K24="Yellow",2,IF(K24="Green",3,"")))</f>
        <v/>
      </c>
      <c r="M24" s="358"/>
      <c r="N24" s="362"/>
    </row>
    <row r="25" spans="2:14" s="355" customFormat="1" ht="30" customHeight="1" thickBot="1">
      <c r="B25" s="2"/>
      <c r="C25" s="42" t="s">
        <v>73</v>
      </c>
      <c r="D25" s="478"/>
      <c r="E25" s="479"/>
      <c r="F25" s="479"/>
      <c r="G25" s="480"/>
      <c r="H25" s="63" t="s">
        <v>49</v>
      </c>
      <c r="I25" s="100"/>
      <c r="K25" s="359" t="str">
        <f>IF(I25="Yes","Green",IF(I25="No","Red",""))</f>
        <v/>
      </c>
      <c r="L25" s="360" t="str">
        <f>IF(K25="Red",1,IF(K25="Yellow",2,IF(K25="Green",3,"")))</f>
        <v/>
      </c>
      <c r="M25" s="358"/>
      <c r="N25" s="362"/>
    </row>
    <row r="26" spans="2:14" s="355" customFormat="1" ht="47.45" customHeight="1" thickBot="1">
      <c r="B26" s="3"/>
      <c r="C26" s="277" t="s">
        <v>74</v>
      </c>
      <c r="D26" s="487"/>
      <c r="E26" s="488"/>
      <c r="F26" s="488"/>
      <c r="G26" s="489"/>
      <c r="H26" s="4"/>
      <c r="I26" s="67" t="str">
        <f>IF(L26="","",IF(L26&lt;6,"Needs Urgent Remediation",IF(OR(L26=6,L26=7),"Needs Improvement",IF(L26&gt;=8,"Meets Standard"))))</f>
        <v>Needs Urgent Remediation</v>
      </c>
      <c r="K26" s="365"/>
      <c r="L26" s="366">
        <f>IF(COUNTA(L23:L25)=0,"",SUM(L23:L25))</f>
        <v>0</v>
      </c>
      <c r="M26" s="367" t="s">
        <v>55</v>
      </c>
      <c r="N26" s="368">
        <f>IF(I26="Not Applicable",0,IF(I26="Needs Urgent Remediation",1,IF(I26="Needs Improvement",2,IF(I26="Meets Standard",3,""))))</f>
        <v>1</v>
      </c>
    </row>
    <row r="27" spans="2:14" ht="15" thickBot="1">
      <c r="B27" s="23"/>
      <c r="C27" s="263"/>
      <c r="K27" s="353"/>
      <c r="L27" s="353"/>
      <c r="M27" s="353"/>
    </row>
    <row r="28" spans="2:14" s="355" customFormat="1" ht="50.25" customHeight="1" thickBot="1">
      <c r="B28" s="35" t="s">
        <v>75</v>
      </c>
      <c r="C28" s="70" t="s">
        <v>76</v>
      </c>
      <c r="D28" s="71"/>
      <c r="E28" s="71"/>
      <c r="F28" s="71"/>
      <c r="G28" s="162"/>
      <c r="H28" s="162"/>
      <c r="I28" s="371"/>
      <c r="K28" s="370"/>
      <c r="L28" s="369"/>
      <c r="M28" s="372"/>
      <c r="N28" s="356"/>
    </row>
    <row r="29" spans="2:14" s="355" customFormat="1" ht="48" customHeight="1">
      <c r="B29" s="2"/>
      <c r="C29" s="37" t="s">
        <v>77</v>
      </c>
      <c r="D29" s="430" t="s">
        <v>78</v>
      </c>
      <c r="E29" s="431"/>
      <c r="F29" s="431"/>
      <c r="G29" s="432"/>
      <c r="H29" s="59"/>
      <c r="I29" s="234"/>
      <c r="K29" s="359"/>
      <c r="L29" s="360"/>
      <c r="M29" s="364"/>
      <c r="N29" s="362"/>
    </row>
    <row r="30" spans="2:14" s="355" customFormat="1" ht="30" customHeight="1">
      <c r="B30" s="2"/>
      <c r="C30" s="41" t="s">
        <v>79</v>
      </c>
      <c r="D30" s="441"/>
      <c r="E30" s="442"/>
      <c r="F30" s="442"/>
      <c r="G30" s="443"/>
      <c r="H30" s="233" t="s">
        <v>49</v>
      </c>
      <c r="I30" s="6" t="s">
        <v>80</v>
      </c>
      <c r="K30" s="359"/>
      <c r="L30" s="360"/>
      <c r="M30" s="364"/>
      <c r="N30" s="362"/>
    </row>
    <row r="31" spans="2:14" s="355" customFormat="1" ht="17.850000000000001" customHeight="1">
      <c r="B31" s="2"/>
      <c r="C31" s="53" t="s">
        <v>81</v>
      </c>
      <c r="D31" s="204"/>
      <c r="E31" s="281"/>
      <c r="F31" s="281"/>
      <c r="G31" s="281"/>
      <c r="H31" s="205"/>
      <c r="I31" s="102"/>
      <c r="K31" s="359" t="str">
        <f>IF(I31="Yes","Green",IF(I31="No","Red",""))</f>
        <v/>
      </c>
      <c r="L31" s="360" t="str">
        <f t="shared" ref="L31:L34" si="0">IF(K31="Red",1,IF(K31="Yellow",2,IF(K31="Green",3,"")))</f>
        <v/>
      </c>
      <c r="M31" s="364"/>
      <c r="N31" s="362"/>
    </row>
    <row r="32" spans="2:14" s="355" customFormat="1" ht="15.75">
      <c r="B32" s="2"/>
      <c r="C32" s="52" t="s">
        <v>82</v>
      </c>
      <c r="D32" s="206"/>
      <c r="E32" s="72"/>
      <c r="F32" s="72"/>
      <c r="G32" s="72"/>
      <c r="H32" s="72"/>
      <c r="I32" s="102"/>
      <c r="K32" s="359" t="str">
        <f>IF(I32="Yes","Green",IF(I32="No","Red",""))</f>
        <v/>
      </c>
      <c r="L32" s="360" t="str">
        <f t="shared" si="0"/>
        <v/>
      </c>
      <c r="M32" s="364"/>
      <c r="N32" s="362"/>
    </row>
    <row r="33" spans="2:14" s="355" customFormat="1" ht="15.75">
      <c r="B33" s="2"/>
      <c r="C33" s="53" t="s">
        <v>83</v>
      </c>
      <c r="D33" s="208"/>
      <c r="E33" s="73"/>
      <c r="F33" s="73"/>
      <c r="G33" s="73"/>
      <c r="H33" s="73"/>
      <c r="I33" s="102"/>
      <c r="K33" s="359" t="str">
        <f>IF(I33="Yes","Green",IF(I33="No","Red",""))</f>
        <v/>
      </c>
      <c r="L33" s="360" t="str">
        <f t="shared" si="0"/>
        <v/>
      </c>
      <c r="M33" s="364"/>
      <c r="N33" s="362"/>
    </row>
    <row r="34" spans="2:14" s="355" customFormat="1" ht="16.5" thickBot="1">
      <c r="B34" s="2"/>
      <c r="C34" s="54" t="s">
        <v>84</v>
      </c>
      <c r="D34" s="210"/>
      <c r="E34" s="19"/>
      <c r="F34" s="19"/>
      <c r="G34" s="19"/>
      <c r="H34" s="19"/>
      <c r="I34" s="235"/>
      <c r="K34" s="359" t="str">
        <f>IF(I34="Yes","Green",IF(I34="No","Red",""))</f>
        <v/>
      </c>
      <c r="L34" s="360" t="str">
        <f t="shared" si="0"/>
        <v/>
      </c>
      <c r="M34" s="364"/>
      <c r="N34" s="362"/>
    </row>
    <row r="35" spans="2:14" s="355" customFormat="1" ht="98.25" customHeight="1">
      <c r="B35" s="2"/>
      <c r="C35" s="594" t="s">
        <v>85</v>
      </c>
      <c r="D35" s="282" t="s">
        <v>86</v>
      </c>
      <c r="E35" s="7" t="s">
        <v>87</v>
      </c>
      <c r="F35" s="7" t="s">
        <v>88</v>
      </c>
      <c r="G35" s="7" t="s">
        <v>89</v>
      </c>
      <c r="H35" s="215"/>
      <c r="I35" s="452" t="s">
        <v>90</v>
      </c>
      <c r="K35" s="358"/>
      <c r="L35" s="358"/>
      <c r="M35" s="364"/>
      <c r="N35" s="362"/>
    </row>
    <row r="36" spans="2:14" s="355" customFormat="1" ht="30" customHeight="1">
      <c r="B36" s="2"/>
      <c r="C36" s="191" t="s">
        <v>91</v>
      </c>
      <c r="D36" s="106"/>
      <c r="E36" s="106"/>
      <c r="F36" s="106"/>
      <c r="G36" s="106"/>
      <c r="H36" s="450" t="s">
        <v>92</v>
      </c>
      <c r="I36" s="452"/>
      <c r="K36" s="358"/>
      <c r="L36" s="358"/>
      <c r="M36" s="364"/>
      <c r="N36" s="362"/>
    </row>
    <row r="37" spans="2:14" s="355" customFormat="1" ht="30" customHeight="1">
      <c r="B37" s="2"/>
      <c r="C37" s="191" t="s">
        <v>93</v>
      </c>
      <c r="D37" s="106"/>
      <c r="E37" s="106"/>
      <c r="F37" s="106"/>
      <c r="G37" s="106"/>
      <c r="H37" s="451"/>
      <c r="I37" s="453"/>
      <c r="K37" s="358"/>
      <c r="L37" s="358"/>
      <c r="M37" s="364"/>
      <c r="N37" s="362"/>
    </row>
    <row r="38" spans="2:14" s="355" customFormat="1" ht="17.850000000000001" customHeight="1">
      <c r="B38" s="2"/>
      <c r="C38" s="53" t="s">
        <v>81</v>
      </c>
      <c r="D38" s="204"/>
      <c r="E38" s="281"/>
      <c r="F38" s="281"/>
      <c r="G38" s="281"/>
      <c r="H38" s="205"/>
      <c r="I38" s="373" t="str">
        <f>IF(OR(D36="",D36=0,D37=""),"",D37/D36)</f>
        <v/>
      </c>
      <c r="K38" s="359" t="str">
        <f>IF(I38="","",IF(I38&lt;70%,"Red",IF(AND(I38&gt;=70%,I38&lt;90%),"Yellow",IF(I38&gt;=90%,"Green"))))</f>
        <v/>
      </c>
      <c r="L38" s="374" t="str">
        <f>IF(K38="Red",1,IF(K38="Yellow",2,IF(K38="Green",3,"")))</f>
        <v/>
      </c>
      <c r="M38" s="364"/>
      <c r="N38" s="362"/>
    </row>
    <row r="39" spans="2:14" s="355" customFormat="1" ht="15.75">
      <c r="B39" s="2"/>
      <c r="C39" s="52" t="s">
        <v>82</v>
      </c>
      <c r="D39" s="206"/>
      <c r="E39" s="72"/>
      <c r="F39" s="72"/>
      <c r="G39" s="72"/>
      <c r="H39" s="72"/>
      <c r="I39" s="373" t="str">
        <f>IF(OR(E36="",E36=0,E37=""),"",E37/E36)</f>
        <v/>
      </c>
      <c r="K39" s="359" t="str">
        <f>IF(I39="","",IF(I39&lt;70%,"Red",IF(AND(I39&gt;=70%,I39&lt;90%),"Yellow",IF(I39&gt;=90%,"Green"))))</f>
        <v/>
      </c>
      <c r="L39" s="374" t="str">
        <f>IF(K39="Red",1,IF(K39="Yellow",2,IF(K39="Green",3,"")))</f>
        <v/>
      </c>
      <c r="M39" s="364"/>
      <c r="N39" s="362"/>
    </row>
    <row r="40" spans="2:14" s="355" customFormat="1" ht="15.75">
      <c r="B40" s="2"/>
      <c r="C40" s="53" t="s">
        <v>83</v>
      </c>
      <c r="D40" s="208"/>
      <c r="E40" s="73"/>
      <c r="F40" s="73"/>
      <c r="G40" s="73"/>
      <c r="H40" s="73"/>
      <c r="I40" s="373" t="str">
        <f>IF(OR(F36="",F36=0,F37=""),"",F37/F36)</f>
        <v/>
      </c>
      <c r="K40" s="359" t="str">
        <f t="shared" ref="K40:K41" si="1">IF(I40="","",IF(I40&lt;70%,"Red",IF(AND(I40&gt;=70%,I40&lt;90%),"Yellow",IF(I40&gt;=90%,"Green"))))</f>
        <v/>
      </c>
      <c r="L40" s="374" t="str">
        <f t="shared" ref="L40:L41" si="2">IF(K40="Red",1,IF(K40="Yellow",2,IF(K40="Green",3,"")))</f>
        <v/>
      </c>
      <c r="M40" s="364"/>
      <c r="N40" s="362"/>
    </row>
    <row r="41" spans="2:14" s="355" customFormat="1" ht="16.5" thickBot="1">
      <c r="B41" s="2"/>
      <c r="C41" s="54" t="s">
        <v>84</v>
      </c>
      <c r="D41" s="210"/>
      <c r="E41" s="19"/>
      <c r="F41" s="19"/>
      <c r="G41" s="19"/>
      <c r="H41" s="19"/>
      <c r="I41" s="373" t="str">
        <f>IF(OR(G36="",G36=0,G37=""),"",G37/G36)</f>
        <v/>
      </c>
      <c r="K41" s="359" t="str">
        <f t="shared" si="1"/>
        <v/>
      </c>
      <c r="L41" s="374" t="str">
        <f t="shared" si="2"/>
        <v/>
      </c>
      <c r="M41" s="364"/>
      <c r="N41" s="362"/>
    </row>
    <row r="42" spans="2:14" s="355" customFormat="1" ht="30.75" thickBot="1">
      <c r="B42" s="3"/>
      <c r="C42" s="275" t="s">
        <v>94</v>
      </c>
      <c r="D42" s="436"/>
      <c r="E42" s="437"/>
      <c r="F42" s="437"/>
      <c r="G42" s="437"/>
      <c r="H42" s="438"/>
      <c r="I42" s="225" t="str">
        <f>IF(I29="NA","Not Applicable",IF(L42="","",IF(L42&lt;14,"Needs Urgent Remediation",IF(AND(L42&gt;=14,L42&lt;20),"Needs Improvement",IF(L42&gt;=20,"Meets Standard")))))</f>
        <v>Needs Urgent Remediation</v>
      </c>
      <c r="K42" s="365"/>
      <c r="L42" s="366">
        <f>IF(COUNTA(L31:L41)=0,"",SUM(L31:L34,L38:L41))</f>
        <v>0</v>
      </c>
      <c r="M42" s="367" t="s">
        <v>95</v>
      </c>
      <c r="N42" s="368">
        <f>IF(I42="Not Applicable",0,IF(I42="Needs Urgent Remediation",1,IF(I42="Needs Improvement",2,IF(I42="Meets Standard",3,""))))</f>
        <v>1</v>
      </c>
    </row>
    <row r="43" spans="2:14" ht="15" thickBot="1">
      <c r="B43" s="23"/>
      <c r="C43" s="263"/>
      <c r="K43" s="353"/>
      <c r="L43" s="353"/>
      <c r="M43" s="353"/>
    </row>
    <row r="44" spans="2:14" s="355" customFormat="1" ht="40.35" customHeight="1">
      <c r="B44" s="35" t="s">
        <v>96</v>
      </c>
      <c r="C44" s="70" t="s">
        <v>97</v>
      </c>
      <c r="D44" s="71"/>
      <c r="E44" s="71"/>
      <c r="F44" s="71"/>
      <c r="G44" s="162"/>
      <c r="H44" s="162"/>
      <c r="I44" s="375"/>
      <c r="K44" s="369"/>
      <c r="L44" s="369"/>
      <c r="M44" s="372"/>
      <c r="N44" s="356"/>
    </row>
    <row r="45" spans="2:14" s="355" customFormat="1" ht="115.5" customHeight="1">
      <c r="B45" s="2"/>
      <c r="C45" s="37" t="s">
        <v>98</v>
      </c>
      <c r="D45" s="430" t="s">
        <v>78</v>
      </c>
      <c r="E45" s="431"/>
      <c r="F45" s="431"/>
      <c r="G45" s="432"/>
      <c r="H45" s="64"/>
      <c r="I45" s="346"/>
      <c r="K45" s="358"/>
      <c r="L45" s="358"/>
      <c r="M45" s="364"/>
      <c r="N45" s="362"/>
    </row>
    <row r="46" spans="2:14" s="355" customFormat="1" ht="30" customHeight="1">
      <c r="B46" s="9"/>
      <c r="C46" s="41" t="s">
        <v>99</v>
      </c>
      <c r="D46" s="441"/>
      <c r="E46" s="442"/>
      <c r="F46" s="442"/>
      <c r="G46" s="443"/>
      <c r="H46" s="63" t="s">
        <v>49</v>
      </c>
      <c r="I46" s="6" t="s">
        <v>80</v>
      </c>
      <c r="K46" s="358"/>
      <c r="L46" s="358"/>
      <c r="M46" s="364"/>
      <c r="N46" s="362"/>
    </row>
    <row r="47" spans="2:14" s="355" customFormat="1" ht="15.75">
      <c r="B47" s="2"/>
      <c r="C47" s="53" t="s">
        <v>100</v>
      </c>
      <c r="D47" s="204"/>
      <c r="E47" s="281"/>
      <c r="F47" s="281"/>
      <c r="G47" s="281"/>
      <c r="H47" s="205"/>
      <c r="I47" s="102"/>
      <c r="K47" s="359" t="str">
        <f>IF(I47="Yes","Green",IF(I47="No","Red",""))</f>
        <v/>
      </c>
      <c r="L47" s="360" t="str">
        <f t="shared" ref="L47" si="3">IF(K47="Red",1,IF(K47="Yellow",2,IF(K47="Green",3,"")))</f>
        <v/>
      </c>
      <c r="M47" s="364"/>
      <c r="N47" s="362"/>
    </row>
    <row r="48" spans="2:14" s="355" customFormat="1" ht="15.75">
      <c r="B48" s="2"/>
      <c r="C48" s="52" t="s">
        <v>82</v>
      </c>
      <c r="D48" s="206"/>
      <c r="E48" s="72"/>
      <c r="F48" s="72"/>
      <c r="G48" s="72"/>
      <c r="H48" s="72"/>
      <c r="I48" s="102"/>
      <c r="K48" s="359" t="str">
        <f>IF(I48="Yes","Green",IF(I48="No","Red",""))</f>
        <v/>
      </c>
      <c r="L48" s="360" t="str">
        <f t="shared" ref="L48:L50" si="4">IF(K48="Red",1,IF(K48="Yellow",2,IF(K48="Green",3,"")))</f>
        <v/>
      </c>
      <c r="M48" s="364"/>
      <c r="N48" s="362"/>
    </row>
    <row r="49" spans="2:14" s="355" customFormat="1" ht="15.75">
      <c r="B49" s="2"/>
      <c r="C49" s="53" t="s">
        <v>83</v>
      </c>
      <c r="D49" s="208"/>
      <c r="E49" s="73"/>
      <c r="F49" s="73"/>
      <c r="G49" s="73"/>
      <c r="H49" s="73"/>
      <c r="I49" s="102"/>
      <c r="K49" s="359" t="str">
        <f>IF(I49="Yes","Green",IF(I49="No","Red",""))</f>
        <v/>
      </c>
      <c r="L49" s="360" t="str">
        <f t="shared" si="4"/>
        <v/>
      </c>
      <c r="M49" s="364"/>
      <c r="N49" s="362"/>
    </row>
    <row r="50" spans="2:14" s="355" customFormat="1" ht="15.75">
      <c r="B50" s="2"/>
      <c r="C50" s="54" t="s">
        <v>84</v>
      </c>
      <c r="D50" s="210"/>
      <c r="E50" s="19"/>
      <c r="F50" s="19"/>
      <c r="G50" s="19"/>
      <c r="H50" s="19"/>
      <c r="I50" s="102"/>
      <c r="K50" s="359" t="str">
        <f>IF(I50="Yes","Green",IF(I50="No","Red",""))</f>
        <v/>
      </c>
      <c r="L50" s="360" t="str">
        <f t="shared" si="4"/>
        <v/>
      </c>
      <c r="M50" s="364"/>
      <c r="N50" s="362"/>
    </row>
    <row r="51" spans="2:14" s="355" customFormat="1" ht="99.75">
      <c r="B51" s="9"/>
      <c r="C51" s="190" t="s">
        <v>101</v>
      </c>
      <c r="D51" s="282" t="s">
        <v>86</v>
      </c>
      <c r="E51" s="7" t="s">
        <v>87</v>
      </c>
      <c r="F51" s="7" t="s">
        <v>88</v>
      </c>
      <c r="G51" s="7" t="s">
        <v>89</v>
      </c>
      <c r="H51" s="215"/>
      <c r="I51" s="457" t="s">
        <v>90</v>
      </c>
      <c r="K51" s="358"/>
      <c r="L51" s="358"/>
      <c r="M51" s="364"/>
      <c r="N51" s="362"/>
    </row>
    <row r="52" spans="2:14" s="355" customFormat="1" ht="30" customHeight="1">
      <c r="B52" s="2"/>
      <c r="C52" s="191" t="s">
        <v>91</v>
      </c>
      <c r="D52" s="106"/>
      <c r="E52" s="106"/>
      <c r="F52" s="106"/>
      <c r="G52" s="106"/>
      <c r="H52" s="450" t="s">
        <v>92</v>
      </c>
      <c r="I52" s="452"/>
      <c r="K52" s="358"/>
      <c r="L52" s="358"/>
      <c r="M52" s="364"/>
      <c r="N52" s="362"/>
    </row>
    <row r="53" spans="2:14" s="355" customFormat="1" ht="30" customHeight="1">
      <c r="B53" s="2"/>
      <c r="C53" s="191" t="s">
        <v>102</v>
      </c>
      <c r="D53" s="106"/>
      <c r="E53" s="106"/>
      <c r="F53" s="106"/>
      <c r="G53" s="106"/>
      <c r="H53" s="451"/>
      <c r="I53" s="453"/>
      <c r="K53" s="358"/>
      <c r="L53" s="358"/>
      <c r="M53" s="364"/>
      <c r="N53" s="362"/>
    </row>
    <row r="54" spans="2:14" s="355" customFormat="1" ht="17.850000000000001" customHeight="1">
      <c r="B54" s="2"/>
      <c r="C54" s="53" t="s">
        <v>81</v>
      </c>
      <c r="D54" s="204"/>
      <c r="E54" s="281"/>
      <c r="F54" s="281"/>
      <c r="G54" s="281"/>
      <c r="H54" s="205"/>
      <c r="I54" s="373" t="str">
        <f>IF(OR(D52="",D52=0,D53=""),"",D53/D52)</f>
        <v/>
      </c>
      <c r="K54" s="359" t="str">
        <f>IF(I54="","",IF(I54&lt;70%,"Red",IF(AND(I54&gt;=70%,I54&lt;90%),"Yellow",IF(I54&gt;=90%,"Green"))))</f>
        <v/>
      </c>
      <c r="L54" s="374" t="str">
        <f>IF(K54="Red",1,IF(K54="Yellow",2,IF(K54="Green",3,"")))</f>
        <v/>
      </c>
      <c r="M54" s="364"/>
      <c r="N54" s="362"/>
    </row>
    <row r="55" spans="2:14" s="355" customFormat="1" ht="15.75">
      <c r="B55" s="2"/>
      <c r="C55" s="52" t="s">
        <v>82</v>
      </c>
      <c r="D55" s="206"/>
      <c r="E55" s="72"/>
      <c r="F55" s="72"/>
      <c r="G55" s="72"/>
      <c r="H55" s="72"/>
      <c r="I55" s="373" t="str">
        <f>IF(OR(E52="",E52=0,E53=""),"",E53/E52)</f>
        <v/>
      </c>
      <c r="K55" s="359" t="str">
        <f>IF(I55="","",IF(I55&lt;70%,"Red",IF(AND(I55&gt;=70%,I55&lt;90%),"Yellow",IF(I55&gt;=90%,"Green"))))</f>
        <v/>
      </c>
      <c r="L55" s="374" t="str">
        <f>IF(K55="Red",1,IF(K55="Yellow",2,IF(K55="Green",3,"")))</f>
        <v/>
      </c>
      <c r="M55" s="364"/>
      <c r="N55" s="362"/>
    </row>
    <row r="56" spans="2:14" s="355" customFormat="1" ht="15.75">
      <c r="B56" s="2"/>
      <c r="C56" s="53" t="s">
        <v>83</v>
      </c>
      <c r="D56" s="208"/>
      <c r="E56" s="73"/>
      <c r="F56" s="73"/>
      <c r="G56" s="73"/>
      <c r="H56" s="73"/>
      <c r="I56" s="373" t="str">
        <f>IF(OR(F52="",F52=0,F53=""),"",F53/F52)</f>
        <v/>
      </c>
      <c r="K56" s="359" t="str">
        <f t="shared" ref="K56:K57" si="5">IF(I56="","",IF(I56&lt;70%,"Red",IF(AND(I56&gt;=70%,I56&lt;90%),"Yellow",IF(I56&gt;=90%,"Green"))))</f>
        <v/>
      </c>
      <c r="L56" s="374" t="str">
        <f t="shared" ref="L56:L57" si="6">IF(K56="Red",1,IF(K56="Yellow",2,IF(K56="Green",3,"")))</f>
        <v/>
      </c>
      <c r="M56" s="364"/>
      <c r="N56" s="362"/>
    </row>
    <row r="57" spans="2:14" s="355" customFormat="1" ht="16.5" thickBot="1">
      <c r="B57" s="2"/>
      <c r="C57" s="54" t="s">
        <v>84</v>
      </c>
      <c r="D57" s="210"/>
      <c r="E57" s="19"/>
      <c r="F57" s="19"/>
      <c r="G57" s="19"/>
      <c r="H57" s="19"/>
      <c r="I57" s="373" t="str">
        <f>IF(OR(G52="",G52=0,G53=""),"",G53/G52)</f>
        <v/>
      </c>
      <c r="K57" s="359" t="str">
        <f t="shared" si="5"/>
        <v/>
      </c>
      <c r="L57" s="374" t="str">
        <f t="shared" si="6"/>
        <v/>
      </c>
      <c r="M57" s="364"/>
      <c r="N57" s="362"/>
    </row>
    <row r="58" spans="2:14" s="355" customFormat="1" ht="37.5" customHeight="1" thickBot="1">
      <c r="B58" s="216"/>
      <c r="C58" s="283" t="s">
        <v>103</v>
      </c>
      <c r="D58" s="436"/>
      <c r="E58" s="437"/>
      <c r="F58" s="437"/>
      <c r="G58" s="437"/>
      <c r="H58" s="438"/>
      <c r="I58" s="225" t="str">
        <f>IF(I45="NA","Not Applicable",IF(L58="","",IF(L58&lt;14,"Needs Urgent Remediation",IF(AND(L58&gt;=14,L58&lt;20),"Needs Improvement",IF(L58&gt;=20,"Meets Standard")))))</f>
        <v>Needs Urgent Remediation</v>
      </c>
      <c r="K58" s="365"/>
      <c r="L58" s="366">
        <f>IF(COUNTA(L47:L57)=0,"",SUM(L47:L50,L54:L57))</f>
        <v>0</v>
      </c>
      <c r="M58" s="367" t="s">
        <v>95</v>
      </c>
      <c r="N58" s="368">
        <f>IF(I58="Not Applicable",0,IF(I58="Needs Urgent Remediation",1,IF(I58="Needs Improvement",2,IF(I58="Meets Standard",3,""))))</f>
        <v>1</v>
      </c>
    </row>
    <row r="59" spans="2:14" ht="15" thickBot="1">
      <c r="B59" s="23"/>
      <c r="C59" s="263"/>
      <c r="K59" s="353"/>
      <c r="L59" s="353"/>
      <c r="M59" s="353"/>
    </row>
    <row r="60" spans="2:14" s="355" customFormat="1" ht="40.35" customHeight="1">
      <c r="B60" s="34" t="s">
        <v>104</v>
      </c>
      <c r="C60" s="10" t="s">
        <v>105</v>
      </c>
      <c r="D60" s="11"/>
      <c r="E60" s="11"/>
      <c r="F60" s="11"/>
      <c r="G60" s="163"/>
      <c r="H60" s="163"/>
      <c r="I60" s="376"/>
      <c r="K60" s="369"/>
      <c r="L60" s="369"/>
      <c r="M60" s="372"/>
      <c r="N60" s="356"/>
    </row>
    <row r="61" spans="2:14" s="355" customFormat="1" ht="30" customHeight="1">
      <c r="B61" s="9"/>
      <c r="C61" s="37" t="s">
        <v>106</v>
      </c>
      <c r="D61" s="430" t="s">
        <v>78</v>
      </c>
      <c r="E61" s="431"/>
      <c r="F61" s="431"/>
      <c r="G61" s="432"/>
      <c r="H61" s="64"/>
      <c r="I61" s="103"/>
      <c r="K61" s="358"/>
      <c r="L61" s="358"/>
      <c r="M61" s="364"/>
      <c r="N61" s="362"/>
    </row>
    <row r="62" spans="2:14" s="355" customFormat="1" ht="30" customHeight="1">
      <c r="B62" s="9"/>
      <c r="C62" s="37" t="s">
        <v>107</v>
      </c>
      <c r="D62" s="430" t="s">
        <v>78</v>
      </c>
      <c r="E62" s="431"/>
      <c r="F62" s="431"/>
      <c r="G62" s="432"/>
      <c r="H62" s="64"/>
      <c r="I62" s="103"/>
      <c r="K62" s="358"/>
      <c r="L62" s="358"/>
      <c r="M62" s="364"/>
      <c r="N62" s="362"/>
    </row>
    <row r="63" spans="2:14" s="355" customFormat="1" ht="30" customHeight="1">
      <c r="B63" s="9"/>
      <c r="C63" s="41" t="s">
        <v>108</v>
      </c>
      <c r="D63" s="444"/>
      <c r="E63" s="445"/>
      <c r="F63" s="445"/>
      <c r="G63" s="446"/>
      <c r="H63" s="63" t="s">
        <v>49</v>
      </c>
      <c r="I63" s="6" t="s">
        <v>80</v>
      </c>
      <c r="K63" s="358"/>
      <c r="L63" s="358"/>
      <c r="M63" s="364"/>
      <c r="N63" s="362"/>
    </row>
    <row r="64" spans="2:14" s="355" customFormat="1" ht="15.75">
      <c r="B64" s="2"/>
      <c r="C64" s="53" t="s">
        <v>100</v>
      </c>
      <c r="D64" s="219"/>
      <c r="E64" s="284"/>
      <c r="F64" s="284"/>
      <c r="G64" s="284"/>
      <c r="H64" s="220"/>
      <c r="I64" s="102"/>
      <c r="K64" s="359" t="str">
        <f>IF(I64="Yes","Green",IF(I64="No","Red",""))</f>
        <v/>
      </c>
      <c r="L64" s="360" t="str">
        <f t="shared" ref="L64" si="7">IF(K64="Red",1,IF(K64="Yellow",2,IF(K64="Green",3,"")))</f>
        <v/>
      </c>
      <c r="M64" s="364"/>
      <c r="N64" s="362"/>
    </row>
    <row r="65" spans="2:14" s="355" customFormat="1" ht="15.75">
      <c r="B65" s="2"/>
      <c r="C65" s="39" t="s">
        <v>83</v>
      </c>
      <c r="D65" s="236"/>
      <c r="E65" s="239"/>
      <c r="F65" s="239"/>
      <c r="G65" s="239"/>
      <c r="H65" s="239"/>
      <c r="I65" s="102"/>
      <c r="K65" s="359" t="str">
        <f>IF(I65="Yes","Green",IF(I65="No","Red",""))</f>
        <v/>
      </c>
      <c r="L65" s="360" t="str">
        <f t="shared" ref="L65:L66" si="8">IF(K65="Red",1,IF(K65="Yellow",2,IF(K65="Green",3,"")))</f>
        <v/>
      </c>
      <c r="M65" s="364"/>
      <c r="N65" s="362"/>
    </row>
    <row r="66" spans="2:14" s="355" customFormat="1" ht="15.75">
      <c r="B66" s="2"/>
      <c r="C66" s="40" t="s">
        <v>84</v>
      </c>
      <c r="D66" s="237"/>
      <c r="E66" s="238"/>
      <c r="F66" s="238"/>
      <c r="G66" s="238"/>
      <c r="H66" s="238"/>
      <c r="I66" s="102"/>
      <c r="K66" s="359" t="str">
        <f>IF(I66="Yes","Green",IF(I66="No","Red",""))</f>
        <v/>
      </c>
      <c r="L66" s="360" t="str">
        <f t="shared" si="8"/>
        <v/>
      </c>
      <c r="M66" s="364"/>
      <c r="N66" s="362"/>
    </row>
    <row r="67" spans="2:14" s="355" customFormat="1" ht="30" customHeight="1">
      <c r="B67" s="9"/>
      <c r="C67" s="41" t="s">
        <v>109</v>
      </c>
      <c r="D67" s="441"/>
      <c r="E67" s="442"/>
      <c r="F67" s="442"/>
      <c r="G67" s="443"/>
      <c r="H67" s="63" t="s">
        <v>49</v>
      </c>
      <c r="I67" s="6" t="s">
        <v>80</v>
      </c>
      <c r="K67" s="358"/>
      <c r="L67" s="358"/>
      <c r="M67" s="364"/>
      <c r="N67" s="362"/>
    </row>
    <row r="68" spans="2:14" s="355" customFormat="1" ht="15.75">
      <c r="B68" s="2"/>
      <c r="C68" s="52" t="s">
        <v>100</v>
      </c>
      <c r="D68" s="219"/>
      <c r="E68" s="284"/>
      <c r="F68" s="284"/>
      <c r="G68" s="284"/>
      <c r="H68" s="220"/>
      <c r="I68" s="102"/>
      <c r="K68" s="359" t="str">
        <f>IF(I68="Yes","Green",IF(I68="No","Red",""))</f>
        <v/>
      </c>
      <c r="L68" s="360" t="str">
        <f t="shared" ref="L68" si="9">IF(K68="Red",1,IF(K68="Yellow",2,IF(K68="Green",3,"")))</f>
        <v/>
      </c>
      <c r="M68" s="364"/>
      <c r="N68" s="362"/>
    </row>
    <row r="69" spans="2:14" s="355" customFormat="1" ht="15.75">
      <c r="B69" s="2"/>
      <c r="C69" s="53" t="s">
        <v>83</v>
      </c>
      <c r="D69" s="236"/>
      <c r="E69" s="239"/>
      <c r="F69" s="239"/>
      <c r="G69" s="239"/>
      <c r="H69" s="239"/>
      <c r="I69" s="102"/>
      <c r="K69" s="359" t="str">
        <f>IF(I69="Yes","Green",IF(I69="No","Red",""))</f>
        <v/>
      </c>
      <c r="L69" s="360" t="str">
        <f t="shared" ref="L69:L70" si="10">IF(K69="Red",1,IF(K69="Yellow",2,IF(K69="Green",3,"")))</f>
        <v/>
      </c>
      <c r="M69" s="364"/>
      <c r="N69" s="362"/>
    </row>
    <row r="70" spans="2:14" s="355" customFormat="1" ht="15.75">
      <c r="B70" s="2"/>
      <c r="C70" s="54" t="s">
        <v>84</v>
      </c>
      <c r="D70" s="237"/>
      <c r="E70" s="238"/>
      <c r="F70" s="238"/>
      <c r="G70" s="238"/>
      <c r="H70" s="238"/>
      <c r="I70" s="102"/>
      <c r="K70" s="359" t="str">
        <f>IF(I70="Yes","Green",IF(I70="No","Red",""))</f>
        <v/>
      </c>
      <c r="L70" s="360" t="str">
        <f t="shared" si="10"/>
        <v/>
      </c>
      <c r="M70" s="364"/>
      <c r="N70" s="362"/>
    </row>
    <row r="71" spans="2:14" s="355" customFormat="1" ht="30" customHeight="1">
      <c r="B71" s="9"/>
      <c r="C71" s="41" t="s">
        <v>110</v>
      </c>
      <c r="D71" s="460"/>
      <c r="E71" s="461"/>
      <c r="F71" s="461"/>
      <c r="G71" s="462"/>
      <c r="H71" s="63" t="s">
        <v>49</v>
      </c>
      <c r="I71" s="6" t="s">
        <v>80</v>
      </c>
      <c r="K71" s="358"/>
      <c r="L71" s="358"/>
      <c r="M71" s="364"/>
      <c r="N71" s="362"/>
    </row>
    <row r="72" spans="2:14" s="355" customFormat="1" ht="17.850000000000001" customHeight="1">
      <c r="B72" s="2"/>
      <c r="C72" s="52" t="s">
        <v>100</v>
      </c>
      <c r="D72" s="219"/>
      <c r="E72" s="284"/>
      <c r="F72" s="284"/>
      <c r="G72" s="284"/>
      <c r="H72" s="220"/>
      <c r="I72" s="102"/>
      <c r="K72" s="359" t="str">
        <f>IF(I72="Yes","Green",IF(I72="No","Red",""))</f>
        <v/>
      </c>
      <c r="L72" s="360" t="str">
        <f t="shared" ref="L72" si="11">IF(K72="Red",1,IF(K72="Yellow",2,IF(K72="Green",3,"")))</f>
        <v/>
      </c>
      <c r="M72" s="364"/>
      <c r="N72" s="362"/>
    </row>
    <row r="73" spans="2:14" s="355" customFormat="1" ht="15.75">
      <c r="B73" s="2"/>
      <c r="C73" s="53" t="s">
        <v>83</v>
      </c>
      <c r="D73" s="236"/>
      <c r="E73" s="239"/>
      <c r="F73" s="239"/>
      <c r="G73" s="239"/>
      <c r="H73" s="239"/>
      <c r="I73" s="102"/>
      <c r="K73" s="359" t="str">
        <f>IF(I73="Yes","Green",IF(I73="No","Red",""))</f>
        <v/>
      </c>
      <c r="L73" s="360" t="str">
        <f t="shared" ref="L73:L74" si="12">IF(K73="Red",1,IF(K73="Yellow",2,IF(K73="Green",3,"")))</f>
        <v/>
      </c>
      <c r="M73" s="364"/>
      <c r="N73" s="362"/>
    </row>
    <row r="74" spans="2:14" s="355" customFormat="1" ht="15.75">
      <c r="B74" s="2"/>
      <c r="C74" s="54" t="s">
        <v>84</v>
      </c>
      <c r="D74" s="237"/>
      <c r="E74" s="238"/>
      <c r="F74" s="238"/>
      <c r="G74" s="238"/>
      <c r="H74" s="238"/>
      <c r="I74" s="102"/>
      <c r="K74" s="359" t="str">
        <f>IF(I74="Yes","Green",IF(I74="No","Red",""))</f>
        <v/>
      </c>
      <c r="L74" s="360" t="str">
        <f t="shared" si="12"/>
        <v/>
      </c>
      <c r="M74" s="364"/>
      <c r="N74" s="362"/>
    </row>
    <row r="75" spans="2:14" s="355" customFormat="1" ht="30" customHeight="1">
      <c r="B75" s="9"/>
      <c r="C75" s="41" t="s">
        <v>111</v>
      </c>
      <c r="D75" s="460"/>
      <c r="E75" s="461"/>
      <c r="F75" s="461"/>
      <c r="G75" s="462"/>
      <c r="H75" s="63" t="s">
        <v>49</v>
      </c>
      <c r="I75" s="6" t="s">
        <v>80</v>
      </c>
      <c r="K75" s="358"/>
      <c r="L75" s="358"/>
      <c r="M75" s="364"/>
      <c r="N75" s="362"/>
    </row>
    <row r="76" spans="2:14" s="355" customFormat="1" ht="17.850000000000001" customHeight="1">
      <c r="B76" s="2"/>
      <c r="C76" s="52" t="s">
        <v>100</v>
      </c>
      <c r="D76" s="219"/>
      <c r="E76" s="284"/>
      <c r="F76" s="284"/>
      <c r="G76" s="284"/>
      <c r="H76" s="220"/>
      <c r="I76" s="100"/>
      <c r="K76" s="359" t="str">
        <f>IF(I76="Yes","Green",IF(I76="No","Red",""))</f>
        <v/>
      </c>
      <c r="L76" s="360" t="str">
        <f t="shared" ref="L76" si="13">IF(K76="Red",1,IF(K76="Yellow",2,IF(K76="Green",3,"")))</f>
        <v/>
      </c>
      <c r="M76" s="364"/>
      <c r="N76" s="362"/>
    </row>
    <row r="77" spans="2:14" s="355" customFormat="1" ht="15.75">
      <c r="B77" s="2"/>
      <c r="C77" s="53" t="s">
        <v>83</v>
      </c>
      <c r="D77" s="236"/>
      <c r="E77" s="239"/>
      <c r="F77" s="239"/>
      <c r="G77" s="239"/>
      <c r="H77" s="239"/>
      <c r="I77" s="100"/>
      <c r="K77" s="359" t="str">
        <f>IF(I77="Yes","Green",IF(I77="No","Red",""))</f>
        <v/>
      </c>
      <c r="L77" s="360" t="str">
        <f t="shared" ref="L77:L78" si="14">IF(K77="Red",1,IF(K77="Yellow",2,IF(K77="Green",3,"")))</f>
        <v/>
      </c>
      <c r="M77" s="364"/>
      <c r="N77" s="362"/>
    </row>
    <row r="78" spans="2:14" s="355" customFormat="1" ht="15.75">
      <c r="B78" s="2"/>
      <c r="C78" s="54" t="s">
        <v>84</v>
      </c>
      <c r="D78" s="237"/>
      <c r="E78" s="238"/>
      <c r="F78" s="238"/>
      <c r="G78" s="238"/>
      <c r="H78" s="238"/>
      <c r="I78" s="102"/>
      <c r="K78" s="359" t="str">
        <f>IF(I78="Yes","Green",IF(I78="No","Red",""))</f>
        <v/>
      </c>
      <c r="L78" s="360" t="str">
        <f t="shared" si="14"/>
        <v/>
      </c>
      <c r="M78" s="364"/>
      <c r="N78" s="362"/>
    </row>
    <row r="79" spans="2:14" s="355" customFormat="1" ht="75" customHeight="1">
      <c r="B79" s="9"/>
      <c r="C79" s="285" t="s">
        <v>112</v>
      </c>
      <c r="D79" s="221"/>
      <c r="E79" s="202" t="s">
        <v>113</v>
      </c>
      <c r="F79" s="202" t="s">
        <v>88</v>
      </c>
      <c r="G79" s="203" t="s">
        <v>89</v>
      </c>
      <c r="H79" s="439" t="s">
        <v>92</v>
      </c>
      <c r="I79" s="457" t="s">
        <v>90</v>
      </c>
      <c r="K79" s="358"/>
      <c r="L79" s="358"/>
      <c r="M79" s="364"/>
      <c r="N79" s="362"/>
    </row>
    <row r="80" spans="2:14" s="355" customFormat="1" ht="30" customHeight="1">
      <c r="B80" s="2"/>
      <c r="C80" s="56" t="s">
        <v>114</v>
      </c>
      <c r="D80" s="57"/>
      <c r="E80" s="106"/>
      <c r="F80" s="106"/>
      <c r="G80" s="107"/>
      <c r="H80" s="440"/>
      <c r="I80" s="452"/>
      <c r="K80" s="358"/>
      <c r="L80" s="358"/>
      <c r="M80" s="364"/>
      <c r="N80" s="362"/>
    </row>
    <row r="81" spans="2:14" s="355" customFormat="1" ht="30" customHeight="1">
      <c r="B81" s="2"/>
      <c r="C81" s="56" t="s">
        <v>115</v>
      </c>
      <c r="D81" s="57"/>
      <c r="E81" s="106"/>
      <c r="F81" s="106"/>
      <c r="G81" s="107"/>
      <c r="H81" s="459"/>
      <c r="I81" s="453"/>
      <c r="K81" s="358"/>
      <c r="L81" s="358"/>
      <c r="M81" s="364"/>
      <c r="N81" s="362"/>
    </row>
    <row r="82" spans="2:14" s="355" customFormat="1" ht="15.75">
      <c r="B82" s="2"/>
      <c r="C82" s="53" t="s">
        <v>81</v>
      </c>
      <c r="D82" s="219"/>
      <c r="E82" s="284"/>
      <c r="F82" s="284"/>
      <c r="G82" s="284"/>
      <c r="H82" s="220"/>
      <c r="I82" s="373" t="str">
        <f>IF(OR(E80="",E80=0,E81=""),"",E81/E80)</f>
        <v/>
      </c>
      <c r="K82" s="359" t="str">
        <f>IF(I82="","",IF(I82&lt;70%,"Red",IF(AND(I82&gt;=70%,I82&lt;90%),"Yellow",IF(I82&gt;=90%,"Green"))))</f>
        <v/>
      </c>
      <c r="L82" s="374" t="str">
        <f>IF(K82="Red",1,IF(K82="Yellow",2,IF(K82="Green",3,"")))</f>
        <v/>
      </c>
      <c r="M82" s="364"/>
      <c r="N82" s="362"/>
    </row>
    <row r="83" spans="2:14" s="355" customFormat="1" ht="15.75">
      <c r="B83" s="2"/>
      <c r="C83" s="53" t="s">
        <v>83</v>
      </c>
      <c r="D83" s="236"/>
      <c r="E83" s="239"/>
      <c r="F83" s="239"/>
      <c r="G83" s="239"/>
      <c r="H83" s="239"/>
      <c r="I83" s="373" t="str">
        <f>IF(OR(F80="",F80=0,F81=""),"",F81/F80)</f>
        <v/>
      </c>
      <c r="K83" s="359" t="str">
        <f t="shared" ref="K83:K84" si="15">IF(I83="","",IF(I83&lt;70%,"Red",IF(AND(I83&gt;=70%,I83&lt;90%),"Yellow",IF(I83&gt;=90%,"Green"))))</f>
        <v/>
      </c>
      <c r="L83" s="374" t="str">
        <f t="shared" ref="L83:L84" si="16">IF(K83="Red",1,IF(K83="Yellow",2,IF(K83="Green",3,"")))</f>
        <v/>
      </c>
      <c r="M83" s="364"/>
      <c r="N83" s="362"/>
    </row>
    <row r="84" spans="2:14" s="355" customFormat="1" ht="16.5" thickBot="1">
      <c r="B84" s="2"/>
      <c r="C84" s="54" t="s">
        <v>84</v>
      </c>
      <c r="D84" s="241"/>
      <c r="E84" s="242"/>
      <c r="F84" s="242"/>
      <c r="G84" s="242"/>
      <c r="H84" s="242"/>
      <c r="I84" s="373" t="str">
        <f>IF(OR(G80="",G80=0,G81=""),"",G81/G80)</f>
        <v/>
      </c>
      <c r="K84" s="359" t="str">
        <f t="shared" si="15"/>
        <v/>
      </c>
      <c r="L84" s="374" t="str">
        <f t="shared" si="16"/>
        <v/>
      </c>
      <c r="M84" s="364"/>
      <c r="N84" s="362"/>
    </row>
    <row r="85" spans="2:14" s="355" customFormat="1" ht="30" customHeight="1" thickBot="1">
      <c r="B85" s="3"/>
      <c r="C85" s="275" t="s">
        <v>116</v>
      </c>
      <c r="D85" s="436"/>
      <c r="E85" s="437"/>
      <c r="F85" s="437"/>
      <c r="G85" s="437"/>
      <c r="H85" s="438"/>
      <c r="I85" s="240" t="str">
        <f>IF(OR(I61="NA",I62="NA"),"Not Applicable",IF(L85="","",IF(L85&lt;25,"Needs Urgent Remediation",IF(AND(L85&gt;=25,L85&lt;35),"Needs Improvement",IF(L85&gt;=35,"Meets Standard")))))</f>
        <v>Needs Urgent Remediation</v>
      </c>
      <c r="K85" s="365"/>
      <c r="L85" s="366">
        <f>IF(COUNTA(L64:L84)=0,"",SUM(L64:L66,L68:L70,L72:L74,L76:L78,L82:L84:L84))</f>
        <v>0</v>
      </c>
      <c r="M85" s="367" t="s">
        <v>117</v>
      </c>
      <c r="N85" s="368">
        <f>IF(I85="Not Applicable",0,IF(I85="Needs Urgent Remediation",1,IF(I85="Needs Improvement",2,IF(I85="Meets Standard",3,""))))</f>
        <v>1</v>
      </c>
    </row>
    <row r="86" spans="2:14" ht="15" thickBot="1">
      <c r="B86" s="23"/>
      <c r="C86" s="263"/>
      <c r="K86" s="353"/>
      <c r="L86" s="353"/>
      <c r="M86" s="353"/>
    </row>
    <row r="87" spans="2:14" s="355" customFormat="1" ht="40.35" customHeight="1">
      <c r="B87" s="34" t="s">
        <v>118</v>
      </c>
      <c r="C87" s="10" t="s">
        <v>119</v>
      </c>
      <c r="D87" s="11"/>
      <c r="E87" s="11"/>
      <c r="F87" s="11"/>
      <c r="G87" s="163"/>
      <c r="H87" s="163"/>
      <c r="I87" s="377"/>
      <c r="K87" s="369"/>
      <c r="L87" s="369"/>
      <c r="M87" s="372"/>
      <c r="N87" s="356"/>
    </row>
    <row r="88" spans="2:14" s="355" customFormat="1" ht="30" customHeight="1">
      <c r="B88" s="2"/>
      <c r="C88" s="41" t="s">
        <v>120</v>
      </c>
      <c r="D88" s="441"/>
      <c r="E88" s="442"/>
      <c r="F88" s="442"/>
      <c r="G88" s="443"/>
      <c r="H88" s="63" t="s">
        <v>49</v>
      </c>
      <c r="I88" s="6" t="s">
        <v>80</v>
      </c>
      <c r="K88" s="359"/>
      <c r="L88" s="360"/>
      <c r="M88" s="364"/>
      <c r="N88" s="362"/>
    </row>
    <row r="89" spans="2:14" s="355" customFormat="1" ht="17.850000000000001" customHeight="1">
      <c r="B89" s="2"/>
      <c r="C89" s="53" t="s">
        <v>100</v>
      </c>
      <c r="D89" s="204"/>
      <c r="E89" s="281"/>
      <c r="F89" s="281"/>
      <c r="G89" s="281"/>
      <c r="H89" s="205"/>
      <c r="I89" s="102"/>
      <c r="K89" s="359" t="str">
        <f>IF(I89="Yes","Green",IF(I89="No","Red",""))</f>
        <v/>
      </c>
      <c r="L89" s="360" t="str">
        <f t="shared" ref="L89" si="17">IF(K89="Red",1,IF(K89="Yellow",2,IF(K89="Green",3,"")))</f>
        <v/>
      </c>
      <c r="M89" s="364"/>
      <c r="N89" s="362"/>
    </row>
    <row r="90" spans="2:14" s="355" customFormat="1" ht="15.75">
      <c r="B90" s="2"/>
      <c r="C90" s="52" t="s">
        <v>82</v>
      </c>
      <c r="D90" s="206"/>
      <c r="E90" s="72"/>
      <c r="F90" s="72"/>
      <c r="G90" s="72"/>
      <c r="H90" s="72"/>
      <c r="I90" s="102"/>
      <c r="K90" s="359" t="str">
        <f>IF(I90="Yes","Green",IF(I90="No","Red",""))</f>
        <v/>
      </c>
      <c r="L90" s="360" t="str">
        <f t="shared" ref="L90:L92" si="18">IF(K90="Red",1,IF(K90="Yellow",2,IF(K90="Green",3,"")))</f>
        <v/>
      </c>
      <c r="M90" s="364"/>
      <c r="N90" s="362"/>
    </row>
    <row r="91" spans="2:14" s="355" customFormat="1" ht="15.75">
      <c r="B91" s="2"/>
      <c r="C91" s="53" t="s">
        <v>83</v>
      </c>
      <c r="D91" s="208"/>
      <c r="E91" s="73"/>
      <c r="F91" s="73"/>
      <c r="G91" s="73"/>
      <c r="H91" s="73"/>
      <c r="I91" s="102"/>
      <c r="K91" s="359" t="str">
        <f>IF(I91="Yes","Green",IF(I91="No","Red",""))</f>
        <v/>
      </c>
      <c r="L91" s="360" t="str">
        <f t="shared" si="18"/>
        <v/>
      </c>
      <c r="M91" s="364"/>
      <c r="N91" s="362"/>
    </row>
    <row r="92" spans="2:14" s="355" customFormat="1" ht="15.75">
      <c r="B92" s="2"/>
      <c r="C92" s="54" t="s">
        <v>84</v>
      </c>
      <c r="D92" s="210"/>
      <c r="E92" s="19"/>
      <c r="F92" s="19"/>
      <c r="G92" s="19"/>
      <c r="H92" s="19"/>
      <c r="I92" s="102"/>
      <c r="K92" s="359" t="str">
        <f>IF(I92="Yes","Green",IF(I92="No","Red",""))</f>
        <v/>
      </c>
      <c r="L92" s="360" t="str">
        <f t="shared" si="18"/>
        <v/>
      </c>
      <c r="M92" s="364"/>
      <c r="N92" s="362"/>
    </row>
    <row r="93" spans="2:14" s="355" customFormat="1" ht="30" customHeight="1">
      <c r="B93" s="2"/>
      <c r="C93" s="41" t="s">
        <v>121</v>
      </c>
      <c r="D93" s="460"/>
      <c r="E93" s="461"/>
      <c r="F93" s="461"/>
      <c r="G93" s="462"/>
      <c r="H93" s="63" t="s">
        <v>49</v>
      </c>
      <c r="I93" s="6" t="s">
        <v>80</v>
      </c>
      <c r="K93" s="359"/>
      <c r="L93" s="360"/>
      <c r="M93" s="364"/>
      <c r="N93" s="362"/>
    </row>
    <row r="94" spans="2:14" s="355" customFormat="1" ht="17.850000000000001" customHeight="1">
      <c r="B94" s="2"/>
      <c r="C94" s="53" t="s">
        <v>100</v>
      </c>
      <c r="D94" s="204"/>
      <c r="E94" s="281"/>
      <c r="F94" s="281"/>
      <c r="G94" s="281"/>
      <c r="H94" s="205"/>
      <c r="I94" s="102"/>
      <c r="K94" s="359" t="str">
        <f>IF(I94="Yes","Green",IF(I94="No","Red",""))</f>
        <v/>
      </c>
      <c r="L94" s="360" t="str">
        <f t="shared" ref="L94" si="19">IF(K94="Red",1,IF(K94="Yellow",2,IF(K94="Green",3,"")))</f>
        <v/>
      </c>
      <c r="M94" s="364"/>
      <c r="N94" s="362"/>
    </row>
    <row r="95" spans="2:14" s="355" customFormat="1" ht="15.75">
      <c r="B95" s="2"/>
      <c r="C95" s="52" t="s">
        <v>82</v>
      </c>
      <c r="D95" s="206"/>
      <c r="E95" s="72"/>
      <c r="F95" s="72"/>
      <c r="G95" s="72"/>
      <c r="H95" s="72"/>
      <c r="I95" s="102"/>
      <c r="K95" s="359" t="str">
        <f>IF(I95="Yes","Green",IF(I95="No","Red",""))</f>
        <v/>
      </c>
      <c r="L95" s="360" t="str">
        <f t="shared" ref="L95:L97" si="20">IF(K95="Red",1,IF(K95="Yellow",2,IF(K95="Green",3,"")))</f>
        <v/>
      </c>
      <c r="M95" s="364"/>
      <c r="N95" s="362"/>
    </row>
    <row r="96" spans="2:14" s="355" customFormat="1" ht="15.75">
      <c r="B96" s="2"/>
      <c r="C96" s="53" t="s">
        <v>83</v>
      </c>
      <c r="D96" s="208"/>
      <c r="E96" s="73"/>
      <c r="F96" s="73"/>
      <c r="G96" s="73"/>
      <c r="H96" s="73"/>
      <c r="I96" s="102"/>
      <c r="K96" s="359" t="str">
        <f>IF(I96="Yes","Green",IF(I96="No","Red",""))</f>
        <v/>
      </c>
      <c r="L96" s="360" t="str">
        <f t="shared" si="20"/>
        <v/>
      </c>
      <c r="M96" s="364"/>
      <c r="N96" s="362"/>
    </row>
    <row r="97" spans="2:14" s="355" customFormat="1" ht="15.75">
      <c r="B97" s="2"/>
      <c r="C97" s="54" t="s">
        <v>84</v>
      </c>
      <c r="D97" s="210"/>
      <c r="E97" s="19"/>
      <c r="F97" s="19"/>
      <c r="G97" s="19"/>
      <c r="H97" s="19"/>
      <c r="I97" s="102"/>
      <c r="K97" s="359" t="str">
        <f>IF(I97="Yes","Green",IF(I97="No","Red",""))</f>
        <v/>
      </c>
      <c r="L97" s="360" t="str">
        <f t="shared" si="20"/>
        <v/>
      </c>
      <c r="M97" s="364"/>
      <c r="N97" s="362"/>
    </row>
    <row r="98" spans="2:14" s="355" customFormat="1" ht="30" customHeight="1">
      <c r="B98" s="2"/>
      <c r="C98" s="41" t="s">
        <v>122</v>
      </c>
      <c r="D98" s="460"/>
      <c r="E98" s="461"/>
      <c r="F98" s="461"/>
      <c r="G98" s="462"/>
      <c r="H98" s="63" t="s">
        <v>49</v>
      </c>
      <c r="I98" s="6" t="s">
        <v>80</v>
      </c>
      <c r="K98" s="359"/>
      <c r="L98" s="360"/>
      <c r="M98" s="364"/>
      <c r="N98" s="362"/>
    </row>
    <row r="99" spans="2:14" s="355" customFormat="1" ht="17.850000000000001" customHeight="1">
      <c r="B99" s="2"/>
      <c r="C99" s="53" t="s">
        <v>100</v>
      </c>
      <c r="D99" s="204"/>
      <c r="E99" s="281"/>
      <c r="F99" s="281"/>
      <c r="G99" s="281"/>
      <c r="H99" s="205"/>
      <c r="I99" s="102"/>
      <c r="K99" s="359" t="str">
        <f>IF(I99="Yes","Green",IF(I99="No","Red",""))</f>
        <v/>
      </c>
      <c r="L99" s="360" t="str">
        <f t="shared" ref="L99" si="21">IF(K99="Red",1,IF(K99="Yellow",2,IF(K99="Green",3,"")))</f>
        <v/>
      </c>
      <c r="M99" s="364"/>
      <c r="N99" s="362"/>
    </row>
    <row r="100" spans="2:14" s="355" customFormat="1" ht="15.75">
      <c r="B100" s="2"/>
      <c r="C100" s="52" t="s">
        <v>82</v>
      </c>
      <c r="D100" s="206"/>
      <c r="E100" s="72"/>
      <c r="F100" s="72"/>
      <c r="G100" s="72"/>
      <c r="H100" s="72"/>
      <c r="I100" s="102"/>
      <c r="K100" s="359" t="str">
        <f>IF(I100="Yes","Green",IF(I100="No","Red",""))</f>
        <v/>
      </c>
      <c r="L100" s="360" t="str">
        <f t="shared" ref="L100:L102" si="22">IF(K100="Red",1,IF(K100="Yellow",2,IF(K100="Green",3,"")))</f>
        <v/>
      </c>
      <c r="M100" s="364"/>
      <c r="N100" s="362"/>
    </row>
    <row r="101" spans="2:14" s="355" customFormat="1" ht="15.75">
      <c r="B101" s="2"/>
      <c r="C101" s="53" t="s">
        <v>83</v>
      </c>
      <c r="D101" s="208"/>
      <c r="E101" s="73"/>
      <c r="F101" s="73"/>
      <c r="G101" s="73"/>
      <c r="H101" s="73"/>
      <c r="I101" s="102"/>
      <c r="K101" s="359" t="str">
        <f>IF(I101="Yes","Green",IF(I101="No","Red",""))</f>
        <v/>
      </c>
      <c r="L101" s="360" t="str">
        <f t="shared" si="22"/>
        <v/>
      </c>
      <c r="M101" s="364"/>
      <c r="N101" s="362"/>
    </row>
    <row r="102" spans="2:14" s="355" customFormat="1" ht="15.75">
      <c r="B102" s="2"/>
      <c r="C102" s="54" t="s">
        <v>84</v>
      </c>
      <c r="D102" s="210"/>
      <c r="E102" s="19"/>
      <c r="F102" s="19"/>
      <c r="G102" s="19"/>
      <c r="H102" s="19"/>
      <c r="I102" s="102"/>
      <c r="K102" s="359" t="str">
        <f>IF(I102="Yes","Green",IF(I102="No","Red",""))</f>
        <v/>
      </c>
      <c r="L102" s="360" t="str">
        <f t="shared" si="22"/>
        <v/>
      </c>
      <c r="M102" s="364"/>
      <c r="N102" s="362"/>
    </row>
    <row r="103" spans="2:14" s="355" customFormat="1" ht="89.85" customHeight="1">
      <c r="B103" s="2"/>
      <c r="C103" s="190" t="s">
        <v>123</v>
      </c>
      <c r="D103" s="282" t="s">
        <v>86</v>
      </c>
      <c r="E103" s="7" t="s">
        <v>87</v>
      </c>
      <c r="F103" s="7" t="s">
        <v>88</v>
      </c>
      <c r="G103" s="7" t="s">
        <v>89</v>
      </c>
      <c r="H103" s="450" t="s">
        <v>92</v>
      </c>
      <c r="I103" s="457" t="s">
        <v>90</v>
      </c>
      <c r="K103" s="358"/>
      <c r="L103" s="358"/>
      <c r="M103" s="364"/>
      <c r="N103" s="362"/>
    </row>
    <row r="104" spans="2:14" s="355" customFormat="1" ht="30" customHeight="1">
      <c r="B104" s="2"/>
      <c r="C104" s="191" t="s">
        <v>124</v>
      </c>
      <c r="D104" s="106"/>
      <c r="E104" s="106"/>
      <c r="F104" s="106"/>
      <c r="G104" s="106"/>
      <c r="H104" s="458"/>
      <c r="I104" s="452"/>
      <c r="K104" s="358"/>
      <c r="L104" s="358"/>
      <c r="M104" s="364"/>
      <c r="N104" s="362"/>
    </row>
    <row r="105" spans="2:14" s="355" customFormat="1" ht="30" customHeight="1">
      <c r="B105" s="2"/>
      <c r="C105" s="191" t="s">
        <v>125</v>
      </c>
      <c r="D105" s="106"/>
      <c r="E105" s="106"/>
      <c r="F105" s="106"/>
      <c r="G105" s="106"/>
      <c r="H105" s="451"/>
      <c r="I105" s="453"/>
      <c r="K105" s="358"/>
      <c r="L105" s="358"/>
      <c r="M105" s="364"/>
      <c r="N105" s="362"/>
    </row>
    <row r="106" spans="2:14" s="355" customFormat="1" ht="17.850000000000001" customHeight="1">
      <c r="B106" s="2"/>
      <c r="C106" s="53" t="s">
        <v>81</v>
      </c>
      <c r="D106" s="204"/>
      <c r="E106" s="281"/>
      <c r="F106" s="281"/>
      <c r="G106" s="281"/>
      <c r="H106" s="205"/>
      <c r="I106" s="373" t="str">
        <f>IF(OR(D104="",D104=0,D105=""),"",D105/D104)</f>
        <v/>
      </c>
      <c r="K106" s="359" t="str">
        <f>IF(I106="","",IF(I106&lt;70%,"Red",IF(AND(I106&gt;=70%,I106&lt;90%),"Yellow",IF(I106&gt;=90%,"Green"))))</f>
        <v/>
      </c>
      <c r="L106" s="374" t="str">
        <f>IF(K106="Red",1,IF(K106="Yellow",2,IF(K106="Green",3,"")))</f>
        <v/>
      </c>
      <c r="M106" s="364"/>
      <c r="N106" s="362"/>
    </row>
    <row r="107" spans="2:14" s="355" customFormat="1" ht="15.75">
      <c r="B107" s="2"/>
      <c r="C107" s="52" t="s">
        <v>82</v>
      </c>
      <c r="D107" s="206"/>
      <c r="E107" s="72"/>
      <c r="F107" s="72"/>
      <c r="G107" s="72"/>
      <c r="H107" s="72"/>
      <c r="I107" s="373" t="str">
        <f>IF(OR(E104="",E104=0,E105=""),"",E105/E104)</f>
        <v/>
      </c>
      <c r="K107" s="359" t="str">
        <f>IF(I107="","",IF(I107&lt;70%,"Red",IF(AND(I107&gt;=70%,I107&lt;90%),"Yellow",IF(I107&gt;=90%,"Green"))))</f>
        <v/>
      </c>
      <c r="L107" s="374" t="str">
        <f>IF(K107="Red",1,IF(K107="Yellow",2,IF(K107="Green",3,"")))</f>
        <v/>
      </c>
      <c r="M107" s="364"/>
      <c r="N107" s="362"/>
    </row>
    <row r="108" spans="2:14" s="355" customFormat="1" ht="15.75">
      <c r="B108" s="2"/>
      <c r="C108" s="53" t="s">
        <v>83</v>
      </c>
      <c r="D108" s="208"/>
      <c r="E108" s="73"/>
      <c r="F108" s="73"/>
      <c r="G108" s="73"/>
      <c r="H108" s="73"/>
      <c r="I108" s="373" t="str">
        <f>IF(OR(F104="",F104=0,F105=""),"",F105/F104)</f>
        <v/>
      </c>
      <c r="K108" s="359" t="str">
        <f t="shared" ref="K108:K109" si="23">IF(I108="","",IF(I108&lt;70%,"Red",IF(AND(I108&gt;=70%,I108&lt;90%),"Yellow",IF(I108&gt;=90%,"Green"))))</f>
        <v/>
      </c>
      <c r="L108" s="374" t="str">
        <f t="shared" ref="L108:L109" si="24">IF(K108="Red",1,IF(K108="Yellow",2,IF(K108="Green",3,"")))</f>
        <v/>
      </c>
      <c r="M108" s="364"/>
      <c r="N108" s="362"/>
    </row>
    <row r="109" spans="2:14" s="355" customFormat="1" ht="16.5" thickBot="1">
      <c r="B109" s="2"/>
      <c r="C109" s="54" t="s">
        <v>84</v>
      </c>
      <c r="D109" s="210"/>
      <c r="E109" s="19"/>
      <c r="F109" s="19"/>
      <c r="G109" s="19"/>
      <c r="H109" s="19"/>
      <c r="I109" s="373" t="str">
        <f>IF(OR(G104="",G104=0,G105=""),"",G105/G104)</f>
        <v/>
      </c>
      <c r="K109" s="359" t="str">
        <f t="shared" si="23"/>
        <v/>
      </c>
      <c r="L109" s="374" t="str">
        <f t="shared" si="24"/>
        <v/>
      </c>
      <c r="M109" s="364"/>
      <c r="N109" s="362"/>
    </row>
    <row r="110" spans="2:14" s="355" customFormat="1" ht="30.75" thickBot="1">
      <c r="B110" s="3"/>
      <c r="C110" s="275" t="s">
        <v>126</v>
      </c>
      <c r="D110" s="436"/>
      <c r="E110" s="437"/>
      <c r="F110" s="437"/>
      <c r="G110" s="437"/>
      <c r="H110" s="438"/>
      <c r="I110" s="225" t="str">
        <f>IF(I97="NA","Not Applicable",IF(L110="","",IF(L110&lt;27,"Needs Urgent Remediation",IF(AND(L110&gt;=27,L110&lt;38),"Needs Improvement",IF(L110&gt;=38,"Meets Standard")))))</f>
        <v>Needs Urgent Remediation</v>
      </c>
      <c r="K110" s="365"/>
      <c r="L110" s="366">
        <f>IF(COUNTA(L89:L109)=0,"",SUM(L89:L92,L94:L97,L99:L102,L106:L109))</f>
        <v>0</v>
      </c>
      <c r="M110" s="367" t="s">
        <v>127</v>
      </c>
      <c r="N110" s="368">
        <f>IF(I110="Not Applicable",0,IF(I110="Needs Urgent Remediation",1,IF(I110="Needs Improvement",2,IF(I110="Meets Standard",3,""))))</f>
        <v>1</v>
      </c>
    </row>
    <row r="111" spans="2:14" ht="15" thickBot="1">
      <c r="B111" s="23"/>
      <c r="C111" s="263"/>
      <c r="K111" s="353"/>
      <c r="L111" s="353"/>
      <c r="M111" s="353"/>
    </row>
    <row r="112" spans="2:14" s="355" customFormat="1" ht="40.35" customHeight="1">
      <c r="B112" s="33" t="s">
        <v>128</v>
      </c>
      <c r="C112" s="286" t="s">
        <v>129</v>
      </c>
      <c r="D112" s="287"/>
      <c r="E112" s="287"/>
      <c r="F112" s="287"/>
      <c r="G112" s="288"/>
      <c r="H112" s="164"/>
      <c r="I112" s="378"/>
      <c r="K112" s="369"/>
      <c r="L112" s="369"/>
      <c r="M112" s="372"/>
      <c r="N112" s="356"/>
    </row>
    <row r="113" spans="2:14" s="355" customFormat="1" ht="30" customHeight="1">
      <c r="B113" s="2"/>
      <c r="C113" s="43" t="s">
        <v>130</v>
      </c>
      <c r="D113" s="430" t="s">
        <v>78</v>
      </c>
      <c r="E113" s="431"/>
      <c r="F113" s="431"/>
      <c r="G113" s="432"/>
      <c r="H113" s="64"/>
      <c r="I113" s="103"/>
      <c r="K113" s="358"/>
      <c r="L113" s="358"/>
      <c r="M113" s="364"/>
      <c r="N113" s="362"/>
    </row>
    <row r="114" spans="2:14" s="355" customFormat="1" ht="30" customHeight="1">
      <c r="B114" s="2"/>
      <c r="C114" s="42" t="s">
        <v>131</v>
      </c>
      <c r="D114" s="433"/>
      <c r="E114" s="434"/>
      <c r="F114" s="434"/>
      <c r="G114" s="435"/>
      <c r="H114" s="63" t="s">
        <v>49</v>
      </c>
      <c r="I114" s="6" t="s">
        <v>132</v>
      </c>
      <c r="K114" s="359"/>
      <c r="L114" s="360"/>
      <c r="M114" s="364"/>
      <c r="N114" s="362"/>
    </row>
    <row r="115" spans="2:14" s="355" customFormat="1" ht="17.850000000000001" customHeight="1">
      <c r="B115" s="2"/>
      <c r="C115" s="53" t="s">
        <v>100</v>
      </c>
      <c r="D115" s="204"/>
      <c r="E115" s="281"/>
      <c r="F115" s="281"/>
      <c r="G115" s="281"/>
      <c r="H115" s="205"/>
      <c r="I115" s="1"/>
      <c r="K115" s="359" t="str">
        <f>IF(I115="Yes","Green",IF(I115="No","Red",""))</f>
        <v/>
      </c>
      <c r="L115" s="360" t="str">
        <f t="shared" ref="L115" si="25">IF(K115="Red",1,IF(K115="Yellow",2,IF(K115="Green",3,"")))</f>
        <v/>
      </c>
      <c r="M115" s="364"/>
      <c r="N115" s="362"/>
    </row>
    <row r="116" spans="2:14" s="355" customFormat="1" ht="15.75">
      <c r="B116" s="2"/>
      <c r="C116" s="38" t="s">
        <v>82</v>
      </c>
      <c r="D116" s="206"/>
      <c r="E116" s="72"/>
      <c r="F116" s="72"/>
      <c r="G116" s="72"/>
      <c r="H116" s="72"/>
      <c r="I116" s="1"/>
      <c r="K116" s="359" t="str">
        <f>IF(I116="Yes","Green",IF(I116="No","Red",""))</f>
        <v/>
      </c>
      <c r="L116" s="360" t="str">
        <f t="shared" ref="L116:L118" si="26">IF(K116="Red",1,IF(K116="Yellow",2,IF(K116="Green",3,"")))</f>
        <v/>
      </c>
      <c r="M116" s="364"/>
      <c r="N116" s="362"/>
    </row>
    <row r="117" spans="2:14" s="355" customFormat="1" ht="15.75">
      <c r="B117" s="2"/>
      <c r="C117" s="39" t="s">
        <v>83</v>
      </c>
      <c r="D117" s="208"/>
      <c r="E117" s="73"/>
      <c r="F117" s="73"/>
      <c r="G117" s="73"/>
      <c r="H117" s="73"/>
      <c r="I117" s="1"/>
      <c r="K117" s="359" t="str">
        <f>IF(I117="Yes","Green",IF(I117="No","Red",""))</f>
        <v/>
      </c>
      <c r="L117" s="360" t="str">
        <f t="shared" si="26"/>
        <v/>
      </c>
      <c r="M117" s="364"/>
      <c r="N117" s="362"/>
    </row>
    <row r="118" spans="2:14" s="355" customFormat="1" ht="15.75">
      <c r="B118" s="2"/>
      <c r="C118" s="40" t="s">
        <v>84</v>
      </c>
      <c r="D118" s="210"/>
      <c r="E118" s="19"/>
      <c r="F118" s="19"/>
      <c r="G118" s="19"/>
      <c r="H118" s="19"/>
      <c r="I118" s="1"/>
      <c r="K118" s="359" t="str">
        <f>IF(I118="Yes","Green",IF(I118="No","Red",""))</f>
        <v/>
      </c>
      <c r="L118" s="360" t="str">
        <f t="shared" si="26"/>
        <v/>
      </c>
      <c r="M118" s="364"/>
      <c r="N118" s="362"/>
    </row>
    <row r="119" spans="2:14" s="355" customFormat="1" ht="85.5">
      <c r="B119" s="2"/>
      <c r="C119" s="191" t="s">
        <v>133</v>
      </c>
      <c r="D119" s="289" t="s">
        <v>86</v>
      </c>
      <c r="E119" s="7" t="s">
        <v>87</v>
      </c>
      <c r="F119" s="7" t="s">
        <v>88</v>
      </c>
      <c r="G119" s="7" t="s">
        <v>89</v>
      </c>
      <c r="H119" s="450" t="s">
        <v>92</v>
      </c>
      <c r="I119" s="457" t="s">
        <v>90</v>
      </c>
      <c r="K119" s="358"/>
      <c r="L119" s="358"/>
      <c r="M119" s="364"/>
      <c r="N119" s="362"/>
    </row>
    <row r="120" spans="2:14" s="355" customFormat="1" ht="30" customHeight="1">
      <c r="B120" s="2"/>
      <c r="C120" s="191" t="s">
        <v>134</v>
      </c>
      <c r="D120" s="106"/>
      <c r="E120" s="106"/>
      <c r="F120" s="106"/>
      <c r="G120" s="106"/>
      <c r="H120" s="458"/>
      <c r="I120" s="452"/>
      <c r="K120" s="358"/>
      <c r="L120" s="358"/>
      <c r="M120" s="364"/>
      <c r="N120" s="362"/>
    </row>
    <row r="121" spans="2:14" s="355" customFormat="1" ht="30" customHeight="1">
      <c r="B121" s="2"/>
      <c r="C121" s="191"/>
      <c r="D121" s="106"/>
      <c r="E121" s="106"/>
      <c r="F121" s="106"/>
      <c r="G121" s="106"/>
      <c r="H121" s="451"/>
      <c r="I121" s="453"/>
      <c r="K121" s="358"/>
      <c r="L121" s="358"/>
      <c r="M121" s="364"/>
      <c r="N121" s="362"/>
    </row>
    <row r="122" spans="2:14" s="355" customFormat="1" ht="17.850000000000001" customHeight="1">
      <c r="B122" s="2"/>
      <c r="C122" s="53" t="s">
        <v>81</v>
      </c>
      <c r="D122" s="204"/>
      <c r="E122" s="281"/>
      <c r="F122" s="281"/>
      <c r="G122" s="281"/>
      <c r="H122" s="205"/>
      <c r="I122" s="373" t="str">
        <f>IF(OR(D120="",D120=0,D121=""),"",D121/D120)</f>
        <v/>
      </c>
      <c r="K122" s="359" t="str">
        <f>IF(I122="","",IF(I122&lt;70%,"Red",IF(AND(I122&gt;=70%,I122&lt;90%),"Yellow",IF(I122&gt;=90%,"Green"))))</f>
        <v/>
      </c>
      <c r="L122" s="374" t="str">
        <f>IF(K122="Red",1,IF(K122="Yellow",2,IF(K122="Green",3,"")))</f>
        <v/>
      </c>
      <c r="M122" s="364"/>
      <c r="N122" s="362"/>
    </row>
    <row r="123" spans="2:14" s="355" customFormat="1" ht="15.75">
      <c r="B123" s="2"/>
      <c r="C123" s="52" t="s">
        <v>82</v>
      </c>
      <c r="D123" s="206"/>
      <c r="E123" s="72"/>
      <c r="F123" s="72"/>
      <c r="G123" s="72"/>
      <c r="H123" s="72"/>
      <c r="I123" s="373" t="str">
        <f>IF(OR(E120="",E120=0,E121=""),"",E121/E120)</f>
        <v/>
      </c>
      <c r="K123" s="359" t="str">
        <f>IF(I123="","",IF(I123&lt;70%,"Red",IF(AND(I123&gt;=70%,I123&lt;90%),"Yellow",IF(I123&gt;=90%,"Green"))))</f>
        <v/>
      </c>
      <c r="L123" s="374" t="str">
        <f>IF(K123="Red",1,IF(K123="Yellow",2,IF(K123="Green",3,"")))</f>
        <v/>
      </c>
      <c r="M123" s="364"/>
      <c r="N123" s="362"/>
    </row>
    <row r="124" spans="2:14" s="355" customFormat="1" ht="15.75">
      <c r="B124" s="2"/>
      <c r="C124" s="53" t="s">
        <v>83</v>
      </c>
      <c r="D124" s="208"/>
      <c r="E124" s="73"/>
      <c r="F124" s="73"/>
      <c r="G124" s="73"/>
      <c r="H124" s="73"/>
      <c r="I124" s="373" t="str">
        <f>IF(OR(F120="",F120=0,F121=""),"",F121/F120)</f>
        <v/>
      </c>
      <c r="K124" s="359" t="str">
        <f t="shared" ref="K124:K125" si="27">IF(I124="","",IF(I124&lt;70%,"Red",IF(AND(I124&gt;=70%,I124&lt;90%),"Yellow",IF(I124&gt;=90%,"Green"))))</f>
        <v/>
      </c>
      <c r="L124" s="374" t="str">
        <f t="shared" ref="L124:L125" si="28">IF(K124="Red",1,IF(K124="Yellow",2,IF(K124="Green",3,"")))</f>
        <v/>
      </c>
      <c r="M124" s="364"/>
      <c r="N124" s="362"/>
    </row>
    <row r="125" spans="2:14" s="355" customFormat="1" ht="16.5" thickBot="1">
      <c r="B125" s="2"/>
      <c r="C125" s="54" t="s">
        <v>84</v>
      </c>
      <c r="D125" s="210"/>
      <c r="E125" s="19"/>
      <c r="F125" s="19"/>
      <c r="G125" s="19"/>
      <c r="H125" s="19"/>
      <c r="I125" s="373" t="str">
        <f>IF(OR(G120="",G120=0,G121=""),"",G121/G120)</f>
        <v/>
      </c>
      <c r="K125" s="359" t="str">
        <f t="shared" si="27"/>
        <v/>
      </c>
      <c r="L125" s="374" t="str">
        <f t="shared" si="28"/>
        <v/>
      </c>
      <c r="M125" s="364"/>
      <c r="N125" s="362"/>
    </row>
    <row r="126" spans="2:14" s="355" customFormat="1" ht="36" customHeight="1" thickBot="1">
      <c r="B126" s="3"/>
      <c r="C126" s="275" t="s">
        <v>135</v>
      </c>
      <c r="D126" s="436"/>
      <c r="E126" s="437"/>
      <c r="F126" s="437"/>
      <c r="G126" s="437"/>
      <c r="H126" s="438"/>
      <c r="I126" s="225" t="str">
        <f>IF(I113="NA","Not Applicable",IF(L126="","",IF(L126&lt;14,"Needs Urgent Remediation",IF(AND(L126&gt;=14,L126&lt;20),"Needs Improvement",IF(L126&gt;=20,"Meets Standard")))))</f>
        <v>Needs Urgent Remediation</v>
      </c>
      <c r="K126" s="365"/>
      <c r="L126" s="366">
        <f>IF(COUNTA(L115:L125)=0,"",SUM(L115:L118,L122:L125))</f>
        <v>0</v>
      </c>
      <c r="M126" s="367" t="s">
        <v>95</v>
      </c>
      <c r="N126" s="368">
        <f>IF(I126="Not Applicable",0,IF(I126="Needs Urgent Remediation",1,IF(I126="Needs Improvement",2,IF(I126="Meets Standard",3,""))))</f>
        <v>1</v>
      </c>
    </row>
    <row r="127" spans="2:14" ht="15" thickBot="1">
      <c r="B127" s="23"/>
      <c r="C127" s="263"/>
      <c r="K127" s="353"/>
      <c r="L127" s="353"/>
      <c r="M127" s="353"/>
    </row>
    <row r="128" spans="2:14" s="380" customFormat="1" ht="40.35" customHeight="1">
      <c r="B128" s="32" t="s">
        <v>136</v>
      </c>
      <c r="C128" s="12" t="s">
        <v>137</v>
      </c>
      <c r="D128" s="13"/>
      <c r="E128" s="13"/>
      <c r="F128" s="13"/>
      <c r="G128" s="165"/>
      <c r="H128" s="166"/>
      <c r="I128" s="379"/>
      <c r="K128" s="369"/>
      <c r="L128" s="369"/>
      <c r="M128" s="381"/>
      <c r="N128" s="382"/>
    </row>
    <row r="129" spans="2:14" s="380" customFormat="1" ht="204" customHeight="1">
      <c r="B129" s="14"/>
      <c r="C129" s="226" t="s">
        <v>138</v>
      </c>
      <c r="D129" s="290" t="s">
        <v>86</v>
      </c>
      <c r="E129" s="7" t="s">
        <v>87</v>
      </c>
      <c r="F129" s="7" t="s">
        <v>88</v>
      </c>
      <c r="G129" s="7" t="s">
        <v>89</v>
      </c>
      <c r="H129" s="450" t="s">
        <v>92</v>
      </c>
      <c r="I129" s="457" t="s">
        <v>90</v>
      </c>
      <c r="K129" s="358"/>
      <c r="L129" s="358"/>
      <c r="M129" s="383"/>
      <c r="N129" s="384"/>
    </row>
    <row r="130" spans="2:14" s="355" customFormat="1" ht="30" customHeight="1">
      <c r="B130" s="2"/>
      <c r="C130" s="191" t="s">
        <v>139</v>
      </c>
      <c r="D130" s="106"/>
      <c r="E130" s="106"/>
      <c r="F130" s="106"/>
      <c r="G130" s="106"/>
      <c r="H130" s="458"/>
      <c r="I130" s="452"/>
      <c r="K130" s="358"/>
      <c r="L130" s="358"/>
      <c r="M130" s="364"/>
      <c r="N130" s="362"/>
    </row>
    <row r="131" spans="2:14" s="355" customFormat="1" ht="30" customHeight="1">
      <c r="B131" s="2"/>
      <c r="C131" s="191" t="s">
        <v>140</v>
      </c>
      <c r="D131" s="106"/>
      <c r="E131" s="106"/>
      <c r="F131" s="106"/>
      <c r="G131" s="106"/>
      <c r="H131" s="451"/>
      <c r="I131" s="453"/>
      <c r="K131" s="358"/>
      <c r="L131" s="358"/>
      <c r="M131" s="364"/>
      <c r="N131" s="362"/>
    </row>
    <row r="132" spans="2:14" s="355" customFormat="1" ht="17.850000000000001" customHeight="1">
      <c r="B132" s="2"/>
      <c r="C132" s="53" t="s">
        <v>81</v>
      </c>
      <c r="D132" s="204"/>
      <c r="E132" s="281"/>
      <c r="F132" s="281"/>
      <c r="G132" s="281"/>
      <c r="H132" s="205"/>
      <c r="I132" s="373" t="str">
        <f>IF(OR(D130="",D130=0,D131=""),"",D131/D130)</f>
        <v/>
      </c>
      <c r="K132" s="359" t="str">
        <f>IF(I132="","",IF(I132&lt;70%,"Red",IF(AND(I132&gt;=70%,I132&lt;90%),"Yellow",IF(I132&gt;=90%,"Green"))))</f>
        <v/>
      </c>
      <c r="L132" s="374" t="str">
        <f>IF(K132="Red",1,IF(K132="Yellow",2,IF(K132="Green",3,"")))</f>
        <v/>
      </c>
      <c r="M132" s="364"/>
      <c r="N132" s="362"/>
    </row>
    <row r="133" spans="2:14" s="355" customFormat="1" ht="15.75">
      <c r="B133" s="2"/>
      <c r="C133" s="52" t="s">
        <v>82</v>
      </c>
      <c r="D133" s="206"/>
      <c r="E133" s="72"/>
      <c r="F133" s="72"/>
      <c r="G133" s="72"/>
      <c r="H133" s="72"/>
      <c r="I133" s="373" t="str">
        <f>IF(OR(E130="",E130=0,E131=""),"",E131/E130)</f>
        <v/>
      </c>
      <c r="K133" s="359" t="str">
        <f>IF(I133="","",IF(I133&lt;70%,"Red",IF(AND(I133&gt;=70%,I133&lt;90%),"Yellow",IF(I133&gt;=90%,"Green"))))</f>
        <v/>
      </c>
      <c r="L133" s="374" t="str">
        <f>IF(K133="Red",1,IF(K133="Yellow",2,IF(K133="Green",3,"")))</f>
        <v/>
      </c>
      <c r="M133" s="364"/>
      <c r="N133" s="362"/>
    </row>
    <row r="134" spans="2:14" s="355" customFormat="1" ht="15.75">
      <c r="B134" s="2"/>
      <c r="C134" s="53" t="s">
        <v>83</v>
      </c>
      <c r="D134" s="208"/>
      <c r="E134" s="73"/>
      <c r="F134" s="73"/>
      <c r="G134" s="73"/>
      <c r="H134" s="73"/>
      <c r="I134" s="373" t="str">
        <f>IF(OR(F130="",F130=0,F131=""),"",F131/F130)</f>
        <v/>
      </c>
      <c r="K134" s="359" t="str">
        <f t="shared" ref="K134:K135" si="29">IF(I134="","",IF(I134&lt;70%,"Red",IF(AND(I134&gt;=70%,I134&lt;90%),"Yellow",IF(I134&gt;=90%,"Green"))))</f>
        <v/>
      </c>
      <c r="L134" s="374" t="str">
        <f t="shared" ref="L134:L135" si="30">IF(K134="Red",1,IF(K134="Yellow",2,IF(K134="Green",3,"")))</f>
        <v/>
      </c>
      <c r="M134" s="364"/>
      <c r="N134" s="362"/>
    </row>
    <row r="135" spans="2:14" s="355" customFormat="1" ht="16.5" thickBot="1">
      <c r="B135" s="2"/>
      <c r="C135" s="54" t="s">
        <v>84</v>
      </c>
      <c r="D135" s="210"/>
      <c r="E135" s="19"/>
      <c r="F135" s="19"/>
      <c r="G135" s="19"/>
      <c r="H135" s="19"/>
      <c r="I135" s="373" t="str">
        <f>IF(OR(G130="",G130=0,G131=""),"",G131/G130)</f>
        <v/>
      </c>
      <c r="K135" s="359" t="str">
        <f t="shared" si="29"/>
        <v/>
      </c>
      <c r="L135" s="374" t="str">
        <f t="shared" si="30"/>
        <v/>
      </c>
      <c r="M135" s="364"/>
      <c r="N135" s="362"/>
    </row>
    <row r="136" spans="2:14" s="380" customFormat="1" ht="28.5" customHeight="1" thickBot="1">
      <c r="B136" s="3"/>
      <c r="C136" s="275" t="s">
        <v>141</v>
      </c>
      <c r="D136" s="436"/>
      <c r="E136" s="437"/>
      <c r="F136" s="437"/>
      <c r="G136" s="437"/>
      <c r="H136" s="438"/>
      <c r="I136" s="225" t="str">
        <f>IF(L136="","",IF(L136&lt;7,"Needs Urgent Remediation",IF(OR(L136=7,L136=8,L136=9),"Needs Improvement",IF(L136&gt;=10,"Meets Standard"))))</f>
        <v>Needs Urgent Remediation</v>
      </c>
      <c r="K136" s="365"/>
      <c r="L136" s="366">
        <f>IF(COUNTA(L132:L135)=0,"",SUM(L132:L135))</f>
        <v>0</v>
      </c>
      <c r="M136" s="367" t="s">
        <v>142</v>
      </c>
      <c r="N136" s="368">
        <f>IF(I136="Not Applicable",0,IF(I136="Needs Urgent Remediation",1,IF(I136="Needs Improvement",2,IF(I136="Meets Standard",3,""))))</f>
        <v>1</v>
      </c>
    </row>
    <row r="137" spans="2:14" ht="15" thickBot="1">
      <c r="B137" s="23"/>
      <c r="C137" s="263"/>
      <c r="K137" s="353"/>
      <c r="L137" s="353"/>
      <c r="M137" s="353"/>
    </row>
    <row r="138" spans="2:14" s="355" customFormat="1" ht="40.35" customHeight="1">
      <c r="B138" s="31" t="s">
        <v>143</v>
      </c>
      <c r="C138" s="74" t="s">
        <v>144</v>
      </c>
      <c r="D138" s="75"/>
      <c r="E138" s="75"/>
      <c r="F138" s="75"/>
      <c r="G138" s="167"/>
      <c r="H138" s="168"/>
      <c r="I138" s="385"/>
      <c r="K138" s="369"/>
      <c r="L138" s="369"/>
      <c r="M138" s="372"/>
      <c r="N138" s="356"/>
    </row>
    <row r="139" spans="2:14" s="355" customFormat="1" ht="30" customHeight="1">
      <c r="B139" s="15"/>
      <c r="C139" s="44" t="s">
        <v>145</v>
      </c>
      <c r="D139" s="193"/>
      <c r="E139" s="62"/>
      <c r="F139" s="222"/>
      <c r="G139" s="187"/>
      <c r="H139" s="63" t="s">
        <v>49</v>
      </c>
      <c r="I139" s="6" t="s">
        <v>132</v>
      </c>
      <c r="K139" s="359"/>
      <c r="L139" s="360"/>
      <c r="M139" s="364"/>
      <c r="N139" s="362"/>
    </row>
    <row r="140" spans="2:14" s="355" customFormat="1" ht="17.850000000000001" customHeight="1">
      <c r="B140" s="2"/>
      <c r="C140" s="53" t="s">
        <v>100</v>
      </c>
      <c r="D140" s="204"/>
      <c r="E140" s="281"/>
      <c r="F140" s="281"/>
      <c r="G140" s="291"/>
      <c r="H140" s="217"/>
      <c r="I140" s="1"/>
      <c r="K140" s="359" t="str">
        <f>IF(I140="Yes","Green",IF(I140="No","Red",""))</f>
        <v/>
      </c>
      <c r="L140" s="360" t="str">
        <f t="shared" ref="L140" si="31">IF(K140="Red",1,IF(K140="Yellow",2,IF(K140="Green",3,"")))</f>
        <v/>
      </c>
      <c r="M140" s="364"/>
      <c r="N140" s="362"/>
    </row>
    <row r="141" spans="2:14" s="355" customFormat="1" ht="15.75">
      <c r="B141" s="2"/>
      <c r="C141" s="52" t="s">
        <v>82</v>
      </c>
      <c r="D141" s="206"/>
      <c r="E141" s="72"/>
      <c r="F141" s="72"/>
      <c r="G141" s="207"/>
      <c r="H141" s="217"/>
      <c r="I141" s="1"/>
      <c r="K141" s="359" t="str">
        <f>IF(I141="Yes","Green",IF(I141="No","Red",""))</f>
        <v/>
      </c>
      <c r="L141" s="360" t="str">
        <f t="shared" ref="L141:L143" si="32">IF(K141="Red",1,IF(K141="Yellow",2,IF(K141="Green",3,"")))</f>
        <v/>
      </c>
      <c r="M141" s="364"/>
      <c r="N141" s="362"/>
    </row>
    <row r="142" spans="2:14" s="355" customFormat="1" ht="15.75">
      <c r="B142" s="2"/>
      <c r="C142" s="53" t="s">
        <v>83</v>
      </c>
      <c r="D142" s="208"/>
      <c r="E142" s="73"/>
      <c r="F142" s="73"/>
      <c r="G142" s="209"/>
      <c r="H142" s="199"/>
      <c r="I142" s="1"/>
      <c r="K142" s="359" t="str">
        <f>IF(I142="Yes","Green",IF(I142="No","Red",""))</f>
        <v/>
      </c>
      <c r="L142" s="360" t="str">
        <f t="shared" si="32"/>
        <v/>
      </c>
      <c r="M142" s="364"/>
      <c r="N142" s="362"/>
    </row>
    <row r="143" spans="2:14" s="355" customFormat="1" ht="15.75">
      <c r="B143" s="2"/>
      <c r="C143" s="54" t="s">
        <v>84</v>
      </c>
      <c r="D143" s="210"/>
      <c r="E143" s="19"/>
      <c r="F143" s="19"/>
      <c r="G143" s="211"/>
      <c r="H143" s="218"/>
      <c r="I143" s="1"/>
      <c r="K143" s="359" t="str">
        <f>IF(I143="Yes","Green",IF(I143="No","Red",""))</f>
        <v/>
      </c>
      <c r="L143" s="360" t="str">
        <f t="shared" si="32"/>
        <v/>
      </c>
      <c r="M143" s="364"/>
      <c r="N143" s="362"/>
    </row>
    <row r="144" spans="2:14" s="355" customFormat="1" ht="76.5" customHeight="1">
      <c r="B144" s="14"/>
      <c r="C144" s="44" t="s">
        <v>146</v>
      </c>
      <c r="D144" s="292" t="s">
        <v>86</v>
      </c>
      <c r="E144" s="201" t="s">
        <v>87</v>
      </c>
      <c r="F144" s="202" t="s">
        <v>88</v>
      </c>
      <c r="G144" s="203" t="s">
        <v>89</v>
      </c>
      <c r="H144" s="439" t="s">
        <v>92</v>
      </c>
      <c r="I144" s="457" t="s">
        <v>90</v>
      </c>
      <c r="K144" s="358"/>
      <c r="L144" s="358"/>
      <c r="M144" s="364"/>
      <c r="N144" s="362"/>
    </row>
    <row r="145" spans="2:17" s="355" customFormat="1" ht="30" customHeight="1">
      <c r="B145" s="2"/>
      <c r="C145" s="42" t="s">
        <v>147</v>
      </c>
      <c r="D145" s="105"/>
      <c r="E145" s="105"/>
      <c r="F145" s="106"/>
      <c r="G145" s="107"/>
      <c r="H145" s="440"/>
      <c r="I145" s="452"/>
      <c r="K145" s="358"/>
      <c r="L145" s="358"/>
      <c r="M145" s="364"/>
      <c r="N145" s="362"/>
    </row>
    <row r="146" spans="2:17" s="355" customFormat="1" ht="30" customHeight="1">
      <c r="B146" s="20"/>
      <c r="C146" s="42" t="s">
        <v>148</v>
      </c>
      <c r="D146" s="105"/>
      <c r="E146" s="105"/>
      <c r="F146" s="106"/>
      <c r="G146" s="107"/>
      <c r="H146" s="440"/>
      <c r="I146" s="452"/>
      <c r="K146" s="358"/>
      <c r="L146" s="358"/>
      <c r="M146" s="364"/>
      <c r="N146" s="362"/>
      <c r="Q146" s="355" t="s">
        <v>149</v>
      </c>
    </row>
    <row r="147" spans="2:17" s="355" customFormat="1" ht="17.850000000000001" customHeight="1">
      <c r="B147" s="2"/>
      <c r="C147" s="53" t="s">
        <v>81</v>
      </c>
      <c r="D147" s="204"/>
      <c r="E147" s="281"/>
      <c r="F147" s="281"/>
      <c r="G147" s="281"/>
      <c r="H147" s="424"/>
      <c r="I147" s="373" t="str">
        <f>IF(OR(D145="",D145=0,D146=""),"",D146/D145)</f>
        <v/>
      </c>
      <c r="K147" s="359" t="str">
        <f>IF(I147="","",IF(I147&lt;70%,"Red",IF(AND(I147&gt;=70%,I147&lt;90%),"Yellow",IF(I147&gt;=90%,"Green"))))</f>
        <v/>
      </c>
      <c r="L147" s="374" t="str">
        <f>IF(K147="Red",1,IF(K147="Yellow",2,IF(K147="Green",3,"")))</f>
        <v/>
      </c>
      <c r="M147" s="364"/>
      <c r="N147" s="362"/>
    </row>
    <row r="148" spans="2:17" s="355" customFormat="1" ht="15.75">
      <c r="B148" s="2"/>
      <c r="C148" s="52" t="s">
        <v>82</v>
      </c>
      <c r="D148" s="206"/>
      <c r="E148" s="72"/>
      <c r="F148" s="72"/>
      <c r="G148" s="72"/>
      <c r="H148" s="72"/>
      <c r="I148" s="373" t="str">
        <f>IF(OR(E145="",E145=0,E146=""),"",E146/E145)</f>
        <v/>
      </c>
      <c r="K148" s="359" t="str">
        <f>IF(I148="","",IF(I148&lt;70%,"Red",IF(AND(I148&gt;=70%,I148&lt;90%),"Yellow",IF(I148&gt;=90%,"Green"))))</f>
        <v/>
      </c>
      <c r="L148" s="374" t="str">
        <f>IF(K148="Red",1,IF(K148="Yellow",2,IF(K148="Green",3,"")))</f>
        <v/>
      </c>
      <c r="M148" s="364"/>
      <c r="N148" s="362"/>
    </row>
    <row r="149" spans="2:17" s="355" customFormat="1" ht="15.75">
      <c r="B149" s="2"/>
      <c r="C149" s="53" t="s">
        <v>83</v>
      </c>
      <c r="D149" s="208"/>
      <c r="E149" s="73"/>
      <c r="F149" s="73"/>
      <c r="G149" s="73"/>
      <c r="H149" s="73"/>
      <c r="I149" s="373" t="str">
        <f>IF(OR(F145="",F145=0,F146=""),"",F146/F145)</f>
        <v/>
      </c>
      <c r="K149" s="359" t="str">
        <f t="shared" ref="K149:K150" si="33">IF(I149="","",IF(I149&lt;70%,"Red",IF(AND(I149&gt;=70%,I149&lt;90%),"Yellow",IF(I149&gt;=90%,"Green"))))</f>
        <v/>
      </c>
      <c r="L149" s="374" t="str">
        <f t="shared" ref="L149:L150" si="34">IF(K149="Red",1,IF(K149="Yellow",2,IF(K149="Green",3,"")))</f>
        <v/>
      </c>
      <c r="M149" s="364"/>
      <c r="N149" s="362"/>
    </row>
    <row r="150" spans="2:17" s="355" customFormat="1" ht="15.75">
      <c r="B150" s="2"/>
      <c r="C150" s="54" t="s">
        <v>84</v>
      </c>
      <c r="D150" s="210"/>
      <c r="E150" s="19"/>
      <c r="F150" s="19"/>
      <c r="G150" s="19"/>
      <c r="H150" s="19"/>
      <c r="I150" s="373" t="str">
        <f>IF(OR(G145="",G145=0,G146=""),"",G146/G145)</f>
        <v/>
      </c>
      <c r="K150" s="359" t="str">
        <f t="shared" si="33"/>
        <v/>
      </c>
      <c r="L150" s="374" t="str">
        <f t="shared" si="34"/>
        <v/>
      </c>
      <c r="M150" s="364"/>
      <c r="N150" s="362"/>
    </row>
    <row r="151" spans="2:17" s="355" customFormat="1" ht="76.5" customHeight="1">
      <c r="B151" s="14"/>
      <c r="C151" s="44" t="s">
        <v>150</v>
      </c>
      <c r="D151" s="292" t="s">
        <v>86</v>
      </c>
      <c r="E151" s="201" t="s">
        <v>87</v>
      </c>
      <c r="F151" s="202" t="s">
        <v>88</v>
      </c>
      <c r="G151" s="203" t="s">
        <v>89</v>
      </c>
      <c r="H151" s="439" t="s">
        <v>92</v>
      </c>
      <c r="I151" s="457" t="s">
        <v>90</v>
      </c>
      <c r="K151" s="358"/>
      <c r="L151" s="358"/>
      <c r="M151" s="364"/>
      <c r="N151" s="362"/>
    </row>
    <row r="152" spans="2:17" s="355" customFormat="1" ht="30" customHeight="1">
      <c r="B152" s="2"/>
      <c r="C152" s="42" t="s">
        <v>147</v>
      </c>
      <c r="D152" s="105"/>
      <c r="E152" s="105"/>
      <c r="F152" s="106"/>
      <c r="G152" s="107"/>
      <c r="H152" s="440"/>
      <c r="I152" s="452"/>
      <c r="K152" s="358"/>
      <c r="L152" s="358"/>
      <c r="M152" s="364"/>
      <c r="N152" s="362"/>
    </row>
    <row r="153" spans="2:17" s="355" customFormat="1" ht="30" customHeight="1">
      <c r="B153" s="20"/>
      <c r="C153" s="42" t="s">
        <v>151</v>
      </c>
      <c r="D153" s="105"/>
      <c r="E153" s="105"/>
      <c r="F153" s="106"/>
      <c r="G153" s="107"/>
      <c r="H153" s="440"/>
      <c r="I153" s="452"/>
      <c r="K153" s="358"/>
      <c r="L153" s="358"/>
      <c r="M153" s="364"/>
      <c r="N153" s="362"/>
      <c r="Q153" s="355" t="s">
        <v>149</v>
      </c>
    </row>
    <row r="154" spans="2:17" s="355" customFormat="1" ht="17.850000000000001" customHeight="1">
      <c r="B154" s="2"/>
      <c r="C154" s="53" t="s">
        <v>81</v>
      </c>
      <c r="D154" s="204"/>
      <c r="E154" s="281"/>
      <c r="F154" s="281"/>
      <c r="G154" s="281"/>
      <c r="H154" s="424"/>
      <c r="I154" s="373" t="str">
        <f>IF(OR(D152="",D152=0,D153=""),"",D153/D152)</f>
        <v/>
      </c>
      <c r="K154" s="359" t="str">
        <f>IF(I154="","",IF(I154&lt;70%,"Red",IF(AND(I154&gt;=70%,I154&lt;90%),"Yellow",IF(I154&gt;=90%,"Green"))))</f>
        <v/>
      </c>
      <c r="L154" s="374" t="str">
        <f>IF(K154="Red",1,IF(K154="Yellow",2,IF(K154="Green",3,"")))</f>
        <v/>
      </c>
      <c r="M154" s="364"/>
      <c r="N154" s="362"/>
    </row>
    <row r="155" spans="2:17" s="355" customFormat="1" ht="15.75">
      <c r="B155" s="2"/>
      <c r="C155" s="52" t="s">
        <v>82</v>
      </c>
      <c r="D155" s="206"/>
      <c r="E155" s="72"/>
      <c r="F155" s="72"/>
      <c r="G155" s="72"/>
      <c r="H155" s="72"/>
      <c r="I155" s="373" t="str">
        <f>IF(OR(E152="",E152=0,E153=""),"",E153/E152)</f>
        <v/>
      </c>
      <c r="K155" s="359" t="str">
        <f>IF(I155="","",IF(I155&lt;70%,"Red",IF(AND(I155&gt;=70%,I155&lt;90%),"Yellow",IF(I155&gt;=90%,"Green"))))</f>
        <v/>
      </c>
      <c r="L155" s="374" t="str">
        <f>IF(K155="Red",1,IF(K155="Yellow",2,IF(K155="Green",3,"")))</f>
        <v/>
      </c>
      <c r="M155" s="364"/>
      <c r="N155" s="362"/>
    </row>
    <row r="156" spans="2:17" s="355" customFormat="1" ht="15.75">
      <c r="B156" s="2"/>
      <c r="C156" s="53" t="s">
        <v>83</v>
      </c>
      <c r="D156" s="208"/>
      <c r="E156" s="73"/>
      <c r="F156" s="73"/>
      <c r="G156" s="73"/>
      <c r="H156" s="73"/>
      <c r="I156" s="373" t="str">
        <f>IF(OR(F152="",F152=0,F153=""),"",F153/F152)</f>
        <v/>
      </c>
      <c r="K156" s="359" t="str">
        <f t="shared" ref="K156:K157" si="35">IF(I156="","",IF(I156&lt;70%,"Red",IF(AND(I156&gt;=70%,I156&lt;90%),"Yellow",IF(I156&gt;=90%,"Green"))))</f>
        <v/>
      </c>
      <c r="L156" s="374" t="str">
        <f t="shared" ref="L156:L157" si="36">IF(K156="Red",1,IF(K156="Yellow",2,IF(K156="Green",3,"")))</f>
        <v/>
      </c>
      <c r="M156" s="364"/>
      <c r="N156" s="362"/>
    </row>
    <row r="157" spans="2:17" s="355" customFormat="1" ht="15.75">
      <c r="B157" s="2"/>
      <c r="C157" s="54" t="s">
        <v>84</v>
      </c>
      <c r="D157" s="210"/>
      <c r="E157" s="19"/>
      <c r="F157" s="19"/>
      <c r="G157" s="19"/>
      <c r="H157" s="19"/>
      <c r="I157" s="373" t="str">
        <f>IF(OR(G152="",G152=0,G153=""),"",G153/G152)</f>
        <v/>
      </c>
      <c r="K157" s="359" t="str">
        <f t="shared" si="35"/>
        <v/>
      </c>
      <c r="L157" s="374" t="str">
        <f t="shared" si="36"/>
        <v/>
      </c>
      <c r="M157" s="364"/>
      <c r="N157" s="362"/>
    </row>
    <row r="158" spans="2:17" s="355" customFormat="1" ht="16.5" thickBot="1">
      <c r="B158" s="2"/>
      <c r="C158" s="54"/>
      <c r="D158" s="425"/>
      <c r="E158" s="426"/>
      <c r="F158" s="426"/>
      <c r="G158" s="426"/>
      <c r="H158" s="426"/>
      <c r="I158" s="427"/>
      <c r="K158" s="359"/>
      <c r="L158" s="374"/>
      <c r="M158" s="364"/>
      <c r="N158" s="362"/>
    </row>
    <row r="159" spans="2:17" s="355" customFormat="1" ht="41.45" customHeight="1" thickBot="1">
      <c r="B159" s="3"/>
      <c r="C159" s="275" t="s">
        <v>152</v>
      </c>
      <c r="D159" s="436"/>
      <c r="E159" s="437"/>
      <c r="F159" s="437"/>
      <c r="G159" s="437"/>
      <c r="H159" s="438"/>
      <c r="I159" s="225" t="str">
        <f>IF(I138="NA","Not Applicable",IF(L159="","",IF(L159&lt;20,"Needs Urgent Remediation",IF(AND(L159&gt;=20,L159&lt;29),"Needs Improvement",IF(L159&gt;=29,"Meets Standard")))))</f>
        <v>Needs Urgent Remediation</v>
      </c>
      <c r="K159" s="365"/>
      <c r="L159" s="366">
        <f>IF(COUNTA(L140:L150)=0,"",SUM(L140:L143,L147:L150,L154:L157))</f>
        <v>0</v>
      </c>
      <c r="M159" s="367" t="s">
        <v>153</v>
      </c>
      <c r="N159" s="368">
        <f>IF(I159="Not Applicable",0,IF(I159="Needs Urgent Remediation",1,IF(I159="Needs Improvement",2,IF(I159="Meets Standard",3,""))))</f>
        <v>1</v>
      </c>
    </row>
    <row r="160" spans="2:17" ht="15" thickBot="1">
      <c r="B160" s="23"/>
      <c r="C160" s="263"/>
      <c r="K160" s="353"/>
      <c r="L160" s="353"/>
      <c r="M160" s="353"/>
    </row>
    <row r="161" spans="2:14" s="355" customFormat="1" ht="40.35" customHeight="1">
      <c r="B161" s="31" t="s">
        <v>154</v>
      </c>
      <c r="C161" s="74" t="s">
        <v>155</v>
      </c>
      <c r="D161" s="75"/>
      <c r="E161" s="75"/>
      <c r="F161" s="75"/>
      <c r="G161" s="167"/>
      <c r="H161" s="168"/>
      <c r="I161" s="385"/>
      <c r="K161" s="369"/>
      <c r="L161" s="369"/>
      <c r="M161" s="369"/>
      <c r="N161" s="356"/>
    </row>
    <row r="162" spans="2:14" s="355" customFormat="1" ht="30" customHeight="1">
      <c r="B162" s="17"/>
      <c r="C162" s="45" t="s">
        <v>156</v>
      </c>
      <c r="D162" s="430" t="s">
        <v>78</v>
      </c>
      <c r="E162" s="431"/>
      <c r="F162" s="431"/>
      <c r="G162" s="432"/>
      <c r="H162" s="65"/>
      <c r="I162" s="103"/>
      <c r="K162" s="358"/>
      <c r="L162" s="358"/>
      <c r="M162" s="358"/>
      <c r="N162" s="362"/>
    </row>
    <row r="163" spans="2:14" s="355" customFormat="1" ht="30" customHeight="1">
      <c r="B163" s="14"/>
      <c r="C163" s="44" t="s">
        <v>157</v>
      </c>
      <c r="D163" s="447"/>
      <c r="E163" s="448"/>
      <c r="F163" s="448"/>
      <c r="G163" s="449"/>
      <c r="H163" s="63" t="s">
        <v>49</v>
      </c>
      <c r="I163" s="6" t="s">
        <v>132</v>
      </c>
      <c r="K163" s="359"/>
      <c r="L163" s="360" t="str">
        <f t="shared" ref="L163:L172" si="37">IF(K163="Red",1,IF(K163="Yellow",2,IF(K163="Green",3,"")))</f>
        <v/>
      </c>
      <c r="M163" s="358"/>
      <c r="N163" s="362"/>
    </row>
    <row r="164" spans="2:14" s="355" customFormat="1" ht="17.850000000000001" customHeight="1">
      <c r="B164" s="2"/>
      <c r="C164" s="53" t="s">
        <v>100</v>
      </c>
      <c r="D164" s="204"/>
      <c r="E164" s="281"/>
      <c r="F164" s="281"/>
      <c r="G164" s="281"/>
      <c r="H164" s="205"/>
      <c r="I164" s="1"/>
      <c r="K164" s="359" t="str">
        <f t="shared" ref="K164" si="38">IF(I164="Yes","Green",IF(I164="No","Red",""))</f>
        <v/>
      </c>
      <c r="L164" s="360" t="str">
        <f t="shared" ref="L164" si="39">IF(K164="Red",1,IF(K164="Yellow",2,IF(K164="Green",3,"")))</f>
        <v/>
      </c>
      <c r="M164" s="364"/>
      <c r="N164" s="362"/>
    </row>
    <row r="165" spans="2:14" s="355" customFormat="1" ht="15.75">
      <c r="B165" s="2"/>
      <c r="C165" s="38" t="s">
        <v>82</v>
      </c>
      <c r="D165" s="206"/>
      <c r="E165" s="72"/>
      <c r="F165" s="72"/>
      <c r="G165" s="72"/>
      <c r="H165" s="72"/>
      <c r="I165" s="1"/>
      <c r="K165" s="359" t="str">
        <f t="shared" ref="K165:K172" si="40">IF(I165="Yes","Green",IF(I165="No","Red",""))</f>
        <v/>
      </c>
      <c r="L165" s="360" t="str">
        <f t="shared" si="37"/>
        <v/>
      </c>
      <c r="M165" s="358"/>
      <c r="N165" s="362"/>
    </row>
    <row r="166" spans="2:14" s="355" customFormat="1" ht="15.75">
      <c r="B166" s="2"/>
      <c r="C166" s="39" t="s">
        <v>83</v>
      </c>
      <c r="D166" s="208"/>
      <c r="E166" s="73"/>
      <c r="F166" s="73"/>
      <c r="G166" s="73"/>
      <c r="H166" s="73"/>
      <c r="I166" s="1"/>
      <c r="K166" s="359" t="str">
        <f t="shared" si="40"/>
        <v/>
      </c>
      <c r="L166" s="360" t="str">
        <f t="shared" si="37"/>
        <v/>
      </c>
      <c r="M166" s="358"/>
      <c r="N166" s="362"/>
    </row>
    <row r="167" spans="2:14" s="355" customFormat="1" ht="15.75">
      <c r="B167" s="2"/>
      <c r="C167" s="40" t="s">
        <v>84</v>
      </c>
      <c r="D167" s="210"/>
      <c r="E167" s="19"/>
      <c r="F167" s="19"/>
      <c r="G167" s="19"/>
      <c r="H167" s="19"/>
      <c r="I167" s="1"/>
      <c r="K167" s="359" t="str">
        <f t="shared" si="40"/>
        <v/>
      </c>
      <c r="L167" s="360" t="str">
        <f t="shared" si="37"/>
        <v/>
      </c>
      <c r="M167" s="358"/>
      <c r="N167" s="362"/>
    </row>
    <row r="168" spans="2:14" s="355" customFormat="1" ht="72.75" customHeight="1">
      <c r="B168" s="15"/>
      <c r="C168" s="44" t="s">
        <v>158</v>
      </c>
      <c r="D168" s="193"/>
      <c r="E168" s="62"/>
      <c r="F168" s="222"/>
      <c r="G168" s="187"/>
      <c r="H168" s="63" t="s">
        <v>49</v>
      </c>
      <c r="I168" s="6" t="s">
        <v>132</v>
      </c>
      <c r="K168" s="359"/>
      <c r="L168" s="360" t="str">
        <f t="shared" si="37"/>
        <v/>
      </c>
      <c r="M168" s="358"/>
      <c r="N168" s="362"/>
    </row>
    <row r="169" spans="2:14" s="355" customFormat="1" ht="17.850000000000001" customHeight="1">
      <c r="B169" s="2"/>
      <c r="C169" s="53" t="s">
        <v>100</v>
      </c>
      <c r="D169" s="204"/>
      <c r="E169" s="281"/>
      <c r="F169" s="281"/>
      <c r="G169" s="281"/>
      <c r="H169" s="205"/>
      <c r="I169" s="1"/>
      <c r="K169" s="359" t="str">
        <f t="shared" ref="K169" si="41">IF(I169="Yes","Green",IF(I169="No","Red",""))</f>
        <v/>
      </c>
      <c r="L169" s="360" t="str">
        <f t="shared" ref="L169" si="42">IF(K169="Red",1,IF(K169="Yellow",2,IF(K169="Green",3,"")))</f>
        <v/>
      </c>
      <c r="M169" s="364"/>
      <c r="N169" s="362"/>
    </row>
    <row r="170" spans="2:14" s="355" customFormat="1" ht="15.75">
      <c r="B170" s="2"/>
      <c r="C170" s="52" t="s">
        <v>82</v>
      </c>
      <c r="D170" s="206"/>
      <c r="E170" s="72"/>
      <c r="F170" s="72"/>
      <c r="G170" s="72"/>
      <c r="H170" s="72"/>
      <c r="I170" s="1"/>
      <c r="K170" s="359" t="str">
        <f t="shared" si="40"/>
        <v/>
      </c>
      <c r="L170" s="360" t="str">
        <f t="shared" si="37"/>
        <v/>
      </c>
      <c r="M170" s="358"/>
      <c r="N170" s="362"/>
    </row>
    <row r="171" spans="2:14" s="355" customFormat="1" ht="15.75">
      <c r="B171" s="2"/>
      <c r="C171" s="53" t="s">
        <v>83</v>
      </c>
      <c r="D171" s="208"/>
      <c r="E171" s="73"/>
      <c r="F171" s="73"/>
      <c r="G171" s="73"/>
      <c r="H171" s="73"/>
      <c r="I171" s="1"/>
      <c r="K171" s="359" t="str">
        <f t="shared" si="40"/>
        <v/>
      </c>
      <c r="L171" s="360" t="str">
        <f t="shared" si="37"/>
        <v/>
      </c>
      <c r="M171" s="358"/>
      <c r="N171" s="362"/>
    </row>
    <row r="172" spans="2:14" s="355" customFormat="1" ht="15.75">
      <c r="B172" s="2"/>
      <c r="C172" s="54" t="s">
        <v>84</v>
      </c>
      <c r="D172" s="210"/>
      <c r="E172" s="19"/>
      <c r="F172" s="19"/>
      <c r="G172" s="19"/>
      <c r="H172" s="19"/>
      <c r="I172" s="1"/>
      <c r="K172" s="359" t="str">
        <f t="shared" si="40"/>
        <v/>
      </c>
      <c r="L172" s="360" t="str">
        <f t="shared" si="37"/>
        <v/>
      </c>
      <c r="M172" s="358"/>
      <c r="N172" s="362"/>
    </row>
    <row r="173" spans="2:14" s="355" customFormat="1" ht="71.25">
      <c r="B173" s="14"/>
      <c r="C173" s="226" t="s">
        <v>159</v>
      </c>
      <c r="D173" s="290" t="s">
        <v>86</v>
      </c>
      <c r="E173" s="7" t="s">
        <v>87</v>
      </c>
      <c r="F173" s="7" t="s">
        <v>88</v>
      </c>
      <c r="G173" s="7" t="s">
        <v>89</v>
      </c>
      <c r="H173" s="450" t="s">
        <v>92</v>
      </c>
      <c r="I173" s="457" t="s">
        <v>90</v>
      </c>
      <c r="K173" s="358"/>
      <c r="L173" s="358"/>
      <c r="M173" s="358"/>
      <c r="N173" s="362"/>
    </row>
    <row r="174" spans="2:14" s="355" customFormat="1" ht="30" customHeight="1">
      <c r="B174" s="2"/>
      <c r="C174" s="191" t="s">
        <v>160</v>
      </c>
      <c r="D174" s="106"/>
      <c r="E174" s="106"/>
      <c r="F174" s="106"/>
      <c r="G174" s="106"/>
      <c r="H174" s="458"/>
      <c r="I174" s="452"/>
      <c r="K174" s="358"/>
      <c r="L174" s="358"/>
      <c r="M174" s="358"/>
      <c r="N174" s="362"/>
    </row>
    <row r="175" spans="2:14" s="355" customFormat="1" ht="30" customHeight="1">
      <c r="B175" s="2"/>
      <c r="C175" s="191" t="s">
        <v>161</v>
      </c>
      <c r="D175" s="106"/>
      <c r="E175" s="106"/>
      <c r="F175" s="106"/>
      <c r="G175" s="106"/>
      <c r="H175" s="451"/>
      <c r="I175" s="453"/>
      <c r="K175" s="358"/>
      <c r="L175" s="358"/>
      <c r="M175" s="358"/>
      <c r="N175" s="362"/>
    </row>
    <row r="176" spans="2:14" s="355" customFormat="1" ht="17.850000000000001" customHeight="1">
      <c r="B176" s="2"/>
      <c r="C176" s="53" t="s">
        <v>81</v>
      </c>
      <c r="D176" s="204"/>
      <c r="E176" s="281"/>
      <c r="F176" s="281"/>
      <c r="G176" s="281"/>
      <c r="H176" s="205"/>
      <c r="I176" s="373" t="str">
        <f>IF(OR(D174="",D174=0,D175=""),"",D175/D174)</f>
        <v/>
      </c>
      <c r="K176" s="359" t="str">
        <f>IF(I176="","",IF(I176&lt;70%,"Red",IF(AND(I176&gt;=70%,I176&lt;90%),"Yellow",IF(I176&gt;=90%,"Green"))))</f>
        <v/>
      </c>
      <c r="L176" s="374" t="str">
        <f>IF(K176="Red",1,IF(K176="Yellow",2,IF(K176="Green",3,"")))</f>
        <v/>
      </c>
      <c r="M176" s="364"/>
      <c r="N176" s="362"/>
    </row>
    <row r="177" spans="2:14" s="355" customFormat="1" ht="15.75">
      <c r="B177" s="2"/>
      <c r="C177" s="52" t="s">
        <v>82</v>
      </c>
      <c r="D177" s="206"/>
      <c r="E177" s="72"/>
      <c r="F177" s="72"/>
      <c r="G177" s="72"/>
      <c r="H177" s="72"/>
      <c r="I177" s="373" t="str">
        <f>IF(OR(E174="",E174=0,E175=""),"",E175/E174)</f>
        <v/>
      </c>
      <c r="K177" s="359" t="str">
        <f>IF(I177="","",IF(I177&lt;70%,"Red",IF(AND(I177&gt;=70%,I177&lt;90%),"Yellow",IF(I177&gt;=90%,"Green"))))</f>
        <v/>
      </c>
      <c r="L177" s="374" t="str">
        <f>IF(K177="Red",1,IF(K177="Yellow",2,IF(K177="Green",3,"")))</f>
        <v/>
      </c>
      <c r="M177" s="364"/>
      <c r="N177" s="362"/>
    </row>
    <row r="178" spans="2:14" s="355" customFormat="1" ht="15.75">
      <c r="B178" s="2"/>
      <c r="C178" s="53" t="s">
        <v>83</v>
      </c>
      <c r="D178" s="208"/>
      <c r="E178" s="73"/>
      <c r="F178" s="73"/>
      <c r="G178" s="73"/>
      <c r="H178" s="73"/>
      <c r="I178" s="373" t="str">
        <f>IF(OR(F174="",F174=0,F175=""),"",F175/F174)</f>
        <v/>
      </c>
      <c r="K178" s="359" t="str">
        <f t="shared" ref="K178:K179" si="43">IF(I178="","",IF(I178&lt;70%,"Red",IF(AND(I178&gt;=70%,I178&lt;90%),"Yellow",IF(I178&gt;=90%,"Green"))))</f>
        <v/>
      </c>
      <c r="L178" s="374" t="str">
        <f t="shared" ref="L178:L179" si="44">IF(K178="Red",1,IF(K178="Yellow",2,IF(K178="Green",3,"")))</f>
        <v/>
      </c>
      <c r="M178" s="364"/>
      <c r="N178" s="362"/>
    </row>
    <row r="179" spans="2:14" s="355" customFormat="1" ht="15.75">
      <c r="B179" s="2"/>
      <c r="C179" s="54" t="s">
        <v>84</v>
      </c>
      <c r="D179" s="210"/>
      <c r="E179" s="19"/>
      <c r="F179" s="19"/>
      <c r="G179" s="19"/>
      <c r="H179" s="19"/>
      <c r="I179" s="373" t="str">
        <f>IF(OR(G174="",G174=0,G175=""),"",G175/G174)</f>
        <v/>
      </c>
      <c r="K179" s="359" t="str">
        <f t="shared" si="43"/>
        <v/>
      </c>
      <c r="L179" s="374" t="str">
        <f t="shared" si="44"/>
        <v/>
      </c>
      <c r="M179" s="364"/>
      <c r="N179" s="362"/>
    </row>
    <row r="180" spans="2:14" s="355" customFormat="1" ht="42.75">
      <c r="B180" s="14"/>
      <c r="C180" s="226" t="s">
        <v>162</v>
      </c>
      <c r="D180" s="290" t="s">
        <v>86</v>
      </c>
      <c r="E180" s="7" t="s">
        <v>87</v>
      </c>
      <c r="F180" s="7" t="s">
        <v>88</v>
      </c>
      <c r="G180" s="7" t="s">
        <v>89</v>
      </c>
      <c r="H180" s="450" t="s">
        <v>92</v>
      </c>
      <c r="I180" s="457" t="s">
        <v>90</v>
      </c>
      <c r="K180" s="358"/>
      <c r="L180" s="358"/>
      <c r="M180" s="358"/>
      <c r="N180" s="362"/>
    </row>
    <row r="181" spans="2:14" s="355" customFormat="1" ht="30" customHeight="1">
      <c r="B181" s="2"/>
      <c r="C181" s="191" t="s">
        <v>163</v>
      </c>
      <c r="D181" s="106"/>
      <c r="E181" s="106"/>
      <c r="F181" s="106"/>
      <c r="G181" s="106"/>
      <c r="H181" s="458"/>
      <c r="I181" s="452"/>
      <c r="K181" s="358"/>
      <c r="L181" s="358"/>
      <c r="M181" s="358"/>
      <c r="N181" s="362"/>
    </row>
    <row r="182" spans="2:14" s="355" customFormat="1" ht="30" customHeight="1">
      <c r="B182" s="2"/>
      <c r="C182" s="191" t="s">
        <v>164</v>
      </c>
      <c r="D182" s="106"/>
      <c r="E182" s="106"/>
      <c r="F182" s="106"/>
      <c r="G182" s="106"/>
      <c r="H182" s="451"/>
      <c r="I182" s="453"/>
      <c r="K182" s="358"/>
      <c r="L182" s="358"/>
      <c r="M182" s="358"/>
      <c r="N182" s="362"/>
    </row>
    <row r="183" spans="2:14" s="355" customFormat="1" ht="17.850000000000001" customHeight="1">
      <c r="B183" s="2"/>
      <c r="C183" s="53" t="s">
        <v>81</v>
      </c>
      <c r="D183" s="204"/>
      <c r="E183" s="281"/>
      <c r="F183" s="281"/>
      <c r="G183" s="281"/>
      <c r="H183" s="205"/>
      <c r="I183" s="373" t="str">
        <f>IF(OR(D181="",D181=0,D182=""),"",D182/D181)</f>
        <v/>
      </c>
      <c r="K183" s="359" t="str">
        <f>IF(I183="","",IF(I183&lt;70%,"Red",IF(AND(I183&gt;=70%,I183&lt;90%),"Yellow",IF(I183&gt;=90%,"Green"))))</f>
        <v/>
      </c>
      <c r="L183" s="374" t="str">
        <f>IF(K183="Red",1,IF(K183="Yellow",2,IF(K183="Green",3,"")))</f>
        <v/>
      </c>
      <c r="M183" s="364"/>
      <c r="N183" s="362"/>
    </row>
    <row r="184" spans="2:14" s="355" customFormat="1" ht="15.75">
      <c r="B184" s="2"/>
      <c r="C184" s="52" t="s">
        <v>82</v>
      </c>
      <c r="D184" s="206"/>
      <c r="E184" s="72"/>
      <c r="F184" s="72"/>
      <c r="G184" s="72"/>
      <c r="H184" s="72"/>
      <c r="I184" s="373" t="str">
        <f>IF(OR(E181="",E181=0,E182=""),"",E182/E181)</f>
        <v/>
      </c>
      <c r="K184" s="359" t="str">
        <f>IF(I184="","",IF(I184&lt;70%,"Red",IF(AND(I184&gt;=70%,I184&lt;90%),"Yellow",IF(I184&gt;=90%,"Green"))))</f>
        <v/>
      </c>
      <c r="L184" s="374" t="str">
        <f>IF(K184="Red",1,IF(K184="Yellow",2,IF(K184="Green",3,"")))</f>
        <v/>
      </c>
      <c r="M184" s="364"/>
      <c r="N184" s="362"/>
    </row>
    <row r="185" spans="2:14" s="355" customFormat="1" ht="15.75">
      <c r="B185" s="2"/>
      <c r="C185" s="53" t="s">
        <v>83</v>
      </c>
      <c r="D185" s="208"/>
      <c r="E185" s="73"/>
      <c r="F185" s="73"/>
      <c r="G185" s="73"/>
      <c r="H185" s="73"/>
      <c r="I185" s="373" t="str">
        <f>IF(OR(F181="",F181=0,F182=""),"",F182/F181)</f>
        <v/>
      </c>
      <c r="K185" s="359" t="str">
        <f t="shared" ref="K185:K186" si="45">IF(I185="","",IF(I185&lt;70%,"Red",IF(AND(I185&gt;=70%,I185&lt;90%),"Yellow",IF(I185&gt;=90%,"Green"))))</f>
        <v/>
      </c>
      <c r="L185" s="374" t="str">
        <f t="shared" ref="L185:L186" si="46">IF(K185="Red",1,IF(K185="Yellow",2,IF(K185="Green",3,"")))</f>
        <v/>
      </c>
      <c r="M185" s="364"/>
      <c r="N185" s="362"/>
    </row>
    <row r="186" spans="2:14" s="355" customFormat="1" ht="15.75">
      <c r="B186" s="2"/>
      <c r="C186" s="54" t="s">
        <v>84</v>
      </c>
      <c r="D186" s="210"/>
      <c r="E186" s="19"/>
      <c r="F186" s="19"/>
      <c r="G186" s="19"/>
      <c r="H186" s="19"/>
      <c r="I186" s="373" t="str">
        <f>IF(OR(G181="",G181=0,G182=""),"",G182/G181)</f>
        <v/>
      </c>
      <c r="K186" s="359" t="str">
        <f t="shared" si="45"/>
        <v/>
      </c>
      <c r="L186" s="374" t="str">
        <f t="shared" si="46"/>
        <v/>
      </c>
      <c r="M186" s="364"/>
      <c r="N186" s="362"/>
    </row>
    <row r="187" spans="2:14" s="355" customFormat="1" ht="57">
      <c r="B187" s="14"/>
      <c r="C187" s="226" t="s">
        <v>165</v>
      </c>
      <c r="D187" s="290" t="s">
        <v>86</v>
      </c>
      <c r="E187" s="7" t="s">
        <v>87</v>
      </c>
      <c r="F187" s="7" t="s">
        <v>88</v>
      </c>
      <c r="G187" s="7" t="s">
        <v>89</v>
      </c>
      <c r="H187" s="450" t="s">
        <v>92</v>
      </c>
      <c r="I187" s="457" t="s">
        <v>90</v>
      </c>
      <c r="K187" s="358"/>
      <c r="L187" s="358"/>
      <c r="M187" s="358"/>
      <c r="N187" s="362"/>
    </row>
    <row r="188" spans="2:14" s="355" customFormat="1" ht="30" customHeight="1">
      <c r="B188" s="2"/>
      <c r="C188" s="191" t="s">
        <v>166</v>
      </c>
      <c r="D188" s="106"/>
      <c r="E188" s="106"/>
      <c r="F188" s="106"/>
      <c r="G188" s="106"/>
      <c r="H188" s="458"/>
      <c r="I188" s="452"/>
      <c r="K188" s="358"/>
      <c r="L188" s="358"/>
      <c r="M188" s="358"/>
      <c r="N188" s="362"/>
    </row>
    <row r="189" spans="2:14" s="355" customFormat="1" ht="30" customHeight="1">
      <c r="B189" s="2"/>
      <c r="C189" s="191" t="s">
        <v>167</v>
      </c>
      <c r="D189" s="106"/>
      <c r="E189" s="106"/>
      <c r="F189" s="106"/>
      <c r="G189" s="106"/>
      <c r="H189" s="451"/>
      <c r="I189" s="453"/>
      <c r="K189" s="358"/>
      <c r="L189" s="358"/>
      <c r="M189" s="358"/>
      <c r="N189" s="362"/>
    </row>
    <row r="190" spans="2:14" s="355" customFormat="1" ht="17.850000000000001" customHeight="1">
      <c r="B190" s="2"/>
      <c r="C190" s="53" t="s">
        <v>81</v>
      </c>
      <c r="D190" s="204"/>
      <c r="E190" s="281"/>
      <c r="F190" s="281"/>
      <c r="G190" s="281"/>
      <c r="H190" s="205"/>
      <c r="I190" s="373" t="str">
        <f>IF(OR(D188="",D188=0,D189=""),"",D189/D188)</f>
        <v/>
      </c>
      <c r="K190" s="359" t="str">
        <f>IF(I190="","",IF(I190&lt;70%,"Red",IF(AND(I190&gt;=70%,I190&lt;90%),"Yellow",IF(I190&gt;=90%,"Green"))))</f>
        <v/>
      </c>
      <c r="L190" s="374" t="str">
        <f>IF(K190="Red",1,IF(K190="Yellow",2,IF(K190="Green",3,"")))</f>
        <v/>
      </c>
      <c r="M190" s="364"/>
      <c r="N190" s="362"/>
    </row>
    <row r="191" spans="2:14" s="355" customFormat="1" ht="15.75">
      <c r="B191" s="2"/>
      <c r="C191" s="52" t="s">
        <v>82</v>
      </c>
      <c r="D191" s="206"/>
      <c r="E191" s="72"/>
      <c r="F191" s="72"/>
      <c r="G191" s="72"/>
      <c r="H191" s="72"/>
      <c r="I191" s="373" t="str">
        <f>IF(OR(E188="",E188=0,E189=""),"",E189/E188)</f>
        <v/>
      </c>
      <c r="K191" s="359" t="str">
        <f>IF(I191="","",IF(I191&lt;70%,"Red",IF(AND(I191&gt;=70%,I191&lt;90%),"Yellow",IF(I191&gt;=90%,"Green"))))</f>
        <v/>
      </c>
      <c r="L191" s="374" t="str">
        <f>IF(K191="Red",1,IF(K191="Yellow",2,IF(K191="Green",3,"")))</f>
        <v/>
      </c>
      <c r="M191" s="364"/>
      <c r="N191" s="362"/>
    </row>
    <row r="192" spans="2:14" s="355" customFormat="1" ht="15.75">
      <c r="B192" s="2"/>
      <c r="C192" s="53" t="s">
        <v>83</v>
      </c>
      <c r="D192" s="208"/>
      <c r="E192" s="73"/>
      <c r="F192" s="73"/>
      <c r="G192" s="73"/>
      <c r="H192" s="73"/>
      <c r="I192" s="373" t="str">
        <f>IF(OR(F188="",F188=0,F189=""),"",F189/F188)</f>
        <v/>
      </c>
      <c r="K192" s="359" t="str">
        <f t="shared" ref="K192:K193" si="47">IF(I192="","",IF(I192&lt;70%,"Red",IF(AND(I192&gt;=70%,I192&lt;90%),"Yellow",IF(I192&gt;=90%,"Green"))))</f>
        <v/>
      </c>
      <c r="L192" s="374" t="str">
        <f t="shared" ref="L192:L193" si="48">IF(K192="Red",1,IF(K192="Yellow",2,IF(K192="Green",3,"")))</f>
        <v/>
      </c>
      <c r="M192" s="364"/>
      <c r="N192" s="362"/>
    </row>
    <row r="193" spans="2:14" s="355" customFormat="1" ht="16.5" thickBot="1">
      <c r="B193" s="2"/>
      <c r="C193" s="54" t="s">
        <v>84</v>
      </c>
      <c r="D193" s="210"/>
      <c r="E193" s="19"/>
      <c r="F193" s="19"/>
      <c r="G193" s="19"/>
      <c r="H193" s="19"/>
      <c r="I193" s="373" t="str">
        <f>IF(OR(G188="",G188=0,G189=""),"",G189/G188)</f>
        <v/>
      </c>
      <c r="K193" s="359" t="str">
        <f t="shared" si="47"/>
        <v/>
      </c>
      <c r="L193" s="374" t="str">
        <f t="shared" si="48"/>
        <v/>
      </c>
      <c r="M193" s="364"/>
      <c r="N193" s="362"/>
    </row>
    <row r="194" spans="2:14" s="355" customFormat="1" ht="30.75" thickBot="1">
      <c r="B194" s="3"/>
      <c r="C194" s="277" t="s">
        <v>168</v>
      </c>
      <c r="D194" s="436"/>
      <c r="E194" s="437"/>
      <c r="F194" s="437"/>
      <c r="G194" s="437"/>
      <c r="H194" s="438"/>
      <c r="I194" s="67" t="str">
        <f>IF(I162="NA","Not Applicable",IF(L194="","",IF(L194&lt;34,"Needs Urgent Remediation",IF(AND(L194&gt;=34,L194&lt;48),"Needs Improvement",IF(L194&gt;=48,"Meets Standard")))))</f>
        <v>Needs Urgent Remediation</v>
      </c>
      <c r="K194" s="365"/>
      <c r="L194" s="366">
        <f>IF(COUNTA(K164:K193)=0,"",SUM(L164:L167,L169:L172,L176:L179,L183:L186,L190:L193))</f>
        <v>0</v>
      </c>
      <c r="M194" s="367" t="s">
        <v>169</v>
      </c>
      <c r="N194" s="368">
        <f>IF(I194="Not Applicable",0,IF(I194="Needs Urgent Remediation",1,IF(I194="Needs Improvement",2,IF(I194="Meets Standard",3,""))))</f>
        <v>1</v>
      </c>
    </row>
    <row r="195" spans="2:14" ht="15" thickBot="1">
      <c r="B195" s="23"/>
      <c r="C195" s="263"/>
      <c r="K195" s="353"/>
      <c r="L195" s="353"/>
      <c r="M195" s="353"/>
    </row>
    <row r="196" spans="2:14" s="380" customFormat="1" ht="40.35" customHeight="1">
      <c r="B196" s="31" t="s">
        <v>170</v>
      </c>
      <c r="C196" s="74" t="s">
        <v>171</v>
      </c>
      <c r="D196" s="75"/>
      <c r="E196" s="75"/>
      <c r="F196" s="75"/>
      <c r="G196" s="167"/>
      <c r="H196" s="168"/>
      <c r="I196" s="385"/>
      <c r="K196" s="386"/>
      <c r="L196" s="386"/>
      <c r="M196" s="386"/>
      <c r="N196" s="382"/>
    </row>
    <row r="197" spans="2:14" s="380" customFormat="1" ht="30" customHeight="1">
      <c r="B197" s="17"/>
      <c r="C197" s="45" t="s">
        <v>172</v>
      </c>
      <c r="D197" s="430" t="s">
        <v>78</v>
      </c>
      <c r="E197" s="431"/>
      <c r="F197" s="431"/>
      <c r="G197" s="432"/>
      <c r="H197" s="66"/>
      <c r="I197" s="103"/>
      <c r="K197" s="387"/>
      <c r="L197" s="387"/>
      <c r="M197" s="387"/>
      <c r="N197" s="384"/>
    </row>
    <row r="198" spans="2:14" s="355" customFormat="1" ht="40.35" customHeight="1">
      <c r="B198" s="14"/>
      <c r="C198" s="44" t="s">
        <v>173</v>
      </c>
      <c r="D198" s="447"/>
      <c r="E198" s="448"/>
      <c r="F198" s="448"/>
      <c r="G198" s="449"/>
      <c r="H198" s="63" t="s">
        <v>49</v>
      </c>
      <c r="I198" s="6" t="s">
        <v>132</v>
      </c>
      <c r="K198" s="359"/>
      <c r="L198" s="360" t="str">
        <f t="shared" ref="L198:L207" si="49">IF(K198="Red",1,IF(K198="Yellow",2,IF(K198="Green",3,"")))</f>
        <v/>
      </c>
      <c r="M198" s="358"/>
      <c r="N198" s="362"/>
    </row>
    <row r="199" spans="2:14" s="355" customFormat="1" ht="17.850000000000001" customHeight="1">
      <c r="B199" s="2"/>
      <c r="C199" s="53" t="s">
        <v>100</v>
      </c>
      <c r="D199" s="204"/>
      <c r="E199" s="281"/>
      <c r="F199" s="281"/>
      <c r="G199" s="281"/>
      <c r="H199" s="205"/>
      <c r="I199" s="1"/>
      <c r="K199" s="359" t="str">
        <f t="shared" ref="K199" si="50">IF(I199="Yes","Green",IF(I199="No","Red",""))</f>
        <v/>
      </c>
      <c r="L199" s="360" t="str">
        <f t="shared" ref="L199" si="51">IF(K199="Red",1,IF(K199="Yellow",2,IF(K199="Green",3,"")))</f>
        <v/>
      </c>
      <c r="M199" s="364"/>
      <c r="N199" s="362"/>
    </row>
    <row r="200" spans="2:14" s="355" customFormat="1" ht="15.75">
      <c r="B200" s="2"/>
      <c r="C200" s="38" t="s">
        <v>82</v>
      </c>
      <c r="D200" s="206"/>
      <c r="E200" s="72"/>
      <c r="F200" s="72"/>
      <c r="G200" s="72"/>
      <c r="H200" s="72"/>
      <c r="I200" s="1"/>
      <c r="K200" s="359" t="str">
        <f t="shared" ref="K200:K207" si="52">IF(I200="Yes","Green",IF(I200="No","Red",""))</f>
        <v/>
      </c>
      <c r="L200" s="360" t="str">
        <f t="shared" si="49"/>
        <v/>
      </c>
      <c r="M200" s="358"/>
      <c r="N200" s="362"/>
    </row>
    <row r="201" spans="2:14" s="355" customFormat="1" ht="15.75">
      <c r="B201" s="2"/>
      <c r="C201" s="39" t="s">
        <v>83</v>
      </c>
      <c r="D201" s="208"/>
      <c r="E201" s="73"/>
      <c r="F201" s="73"/>
      <c r="G201" s="73"/>
      <c r="H201" s="73"/>
      <c r="I201" s="1"/>
      <c r="K201" s="359" t="str">
        <f t="shared" si="52"/>
        <v/>
      </c>
      <c r="L201" s="360" t="str">
        <f t="shared" si="49"/>
        <v/>
      </c>
      <c r="M201" s="358"/>
      <c r="N201" s="362"/>
    </row>
    <row r="202" spans="2:14" s="355" customFormat="1" ht="15.75">
      <c r="B202" s="2"/>
      <c r="C202" s="40" t="s">
        <v>84</v>
      </c>
      <c r="D202" s="210"/>
      <c r="E202" s="19"/>
      <c r="F202" s="19"/>
      <c r="G202" s="19"/>
      <c r="H202" s="19"/>
      <c r="I202" s="1"/>
      <c r="K202" s="359" t="str">
        <f t="shared" si="52"/>
        <v/>
      </c>
      <c r="L202" s="360" t="str">
        <f t="shared" si="49"/>
        <v/>
      </c>
      <c r="M202" s="358"/>
      <c r="N202" s="362"/>
    </row>
    <row r="203" spans="2:14" s="355" customFormat="1" ht="30" customHeight="1">
      <c r="B203" s="15"/>
      <c r="C203" s="44" t="s">
        <v>174</v>
      </c>
      <c r="D203" s="226"/>
      <c r="E203" s="58"/>
      <c r="F203" s="16"/>
      <c r="G203" s="51"/>
      <c r="H203" s="63" t="s">
        <v>60</v>
      </c>
      <c r="I203" s="6" t="s">
        <v>132</v>
      </c>
      <c r="K203" s="359"/>
      <c r="L203" s="360" t="str">
        <f t="shared" si="49"/>
        <v/>
      </c>
      <c r="M203" s="358"/>
      <c r="N203" s="362"/>
    </row>
    <row r="204" spans="2:14" s="355" customFormat="1" ht="17.850000000000001" customHeight="1">
      <c r="B204" s="2"/>
      <c r="C204" s="53" t="s">
        <v>100</v>
      </c>
      <c r="D204" s="204"/>
      <c r="E204" s="281"/>
      <c r="F204" s="281"/>
      <c r="G204" s="281"/>
      <c r="H204" s="205"/>
      <c r="I204" s="1"/>
      <c r="K204" s="359" t="str">
        <f t="shared" ref="K204" si="53">IF(I204="Yes","Green",IF(I204="No","Red",""))</f>
        <v/>
      </c>
      <c r="L204" s="360" t="str">
        <f t="shared" ref="L204" si="54">IF(K204="Red",1,IF(K204="Yellow",2,IF(K204="Green",3,"")))</f>
        <v/>
      </c>
      <c r="M204" s="364"/>
      <c r="N204" s="362"/>
    </row>
    <row r="205" spans="2:14" s="355" customFormat="1" ht="15.75">
      <c r="B205" s="2"/>
      <c r="C205" s="38" t="s">
        <v>82</v>
      </c>
      <c r="D205" s="206"/>
      <c r="E205" s="72"/>
      <c r="F205" s="72"/>
      <c r="G205" s="72"/>
      <c r="H205" s="72"/>
      <c r="I205" s="1"/>
      <c r="K205" s="359" t="str">
        <f t="shared" si="52"/>
        <v/>
      </c>
      <c r="L205" s="360" t="str">
        <f t="shared" si="49"/>
        <v/>
      </c>
      <c r="M205" s="358"/>
      <c r="N205" s="362"/>
    </row>
    <row r="206" spans="2:14" s="355" customFormat="1" ht="15.75">
      <c r="B206" s="2"/>
      <c r="C206" s="39" t="s">
        <v>83</v>
      </c>
      <c r="D206" s="208"/>
      <c r="E206" s="73"/>
      <c r="F206" s="73"/>
      <c r="G206" s="73"/>
      <c r="H206" s="73"/>
      <c r="I206" s="1"/>
      <c r="K206" s="359" t="str">
        <f t="shared" si="52"/>
        <v/>
      </c>
      <c r="L206" s="360" t="str">
        <f t="shared" si="49"/>
        <v/>
      </c>
      <c r="M206" s="358"/>
      <c r="N206" s="362"/>
    </row>
    <row r="207" spans="2:14" s="355" customFormat="1" ht="15.75">
      <c r="B207" s="2"/>
      <c r="C207" s="40" t="s">
        <v>84</v>
      </c>
      <c r="D207" s="210"/>
      <c r="E207" s="19"/>
      <c r="F207" s="19"/>
      <c r="G207" s="19"/>
      <c r="H207" s="19"/>
      <c r="I207" s="1"/>
      <c r="K207" s="359" t="str">
        <f t="shared" si="52"/>
        <v/>
      </c>
      <c r="L207" s="360" t="str">
        <f t="shared" si="49"/>
        <v/>
      </c>
      <c r="M207" s="358"/>
      <c r="N207" s="362"/>
    </row>
    <row r="208" spans="2:14" s="355" customFormat="1" ht="71.25">
      <c r="B208" s="14"/>
      <c r="C208" s="44" t="s">
        <v>175</v>
      </c>
      <c r="D208" s="226" t="s">
        <v>86</v>
      </c>
      <c r="E208" s="55" t="s">
        <v>87</v>
      </c>
      <c r="F208" s="7" t="s">
        <v>88</v>
      </c>
      <c r="G208" s="50" t="s">
        <v>89</v>
      </c>
      <c r="H208" s="439" t="s">
        <v>92</v>
      </c>
      <c r="I208" s="457" t="s">
        <v>90</v>
      </c>
      <c r="K208" s="358"/>
      <c r="L208" s="358"/>
      <c r="M208" s="358"/>
      <c r="N208" s="362"/>
    </row>
    <row r="209" spans="2:55" s="355" customFormat="1" ht="30" customHeight="1">
      <c r="B209" s="2"/>
      <c r="C209" s="42" t="s">
        <v>176</v>
      </c>
      <c r="D209" s="105"/>
      <c r="E209" s="105"/>
      <c r="F209" s="106"/>
      <c r="G209" s="107"/>
      <c r="H209" s="440"/>
      <c r="I209" s="452"/>
      <c r="K209" s="358"/>
      <c r="L209" s="358"/>
      <c r="M209" s="358"/>
      <c r="N209" s="362"/>
    </row>
    <row r="210" spans="2:55" s="355" customFormat="1" ht="30" customHeight="1">
      <c r="B210" s="2"/>
      <c r="C210" s="42" t="s">
        <v>177</v>
      </c>
      <c r="D210" s="105"/>
      <c r="E210" s="105"/>
      <c r="F210" s="106"/>
      <c r="G210" s="107"/>
      <c r="H210" s="459"/>
      <c r="I210" s="453"/>
      <c r="K210" s="358"/>
      <c r="L210" s="358"/>
      <c r="M210" s="358"/>
      <c r="N210" s="362"/>
    </row>
    <row r="211" spans="2:55" s="355" customFormat="1" ht="17.850000000000001" customHeight="1">
      <c r="B211" s="2"/>
      <c r="C211" s="53" t="s">
        <v>81</v>
      </c>
      <c r="D211" s="204"/>
      <c r="E211" s="281"/>
      <c r="F211" s="281"/>
      <c r="G211" s="281"/>
      <c r="H211" s="205"/>
      <c r="I211" s="373" t="str">
        <f>IF(OR(D209="",D209=0,D210=""),"",D210/D209)</f>
        <v/>
      </c>
      <c r="K211" s="359" t="str">
        <f>IF(I211="","",IF(I211&lt;70%,"Red",IF(AND(I211&gt;=70%,I211&lt;90%),"Yellow",IF(I211&gt;=90%,"Green"))))</f>
        <v/>
      </c>
      <c r="L211" s="374" t="str">
        <f>IF(K211="Red",1,IF(K211="Yellow",2,IF(K211="Green",3,"")))</f>
        <v/>
      </c>
      <c r="M211" s="364"/>
      <c r="N211" s="362"/>
    </row>
    <row r="212" spans="2:55" s="355" customFormat="1" ht="15.75">
      <c r="B212" s="2"/>
      <c r="C212" s="52" t="s">
        <v>82</v>
      </c>
      <c r="D212" s="206"/>
      <c r="E212" s="72"/>
      <c r="F212" s="72"/>
      <c r="G212" s="72"/>
      <c r="H212" s="72"/>
      <c r="I212" s="373" t="str">
        <f>IF(OR(E209="",E209=0,E210=""),"",E210/E209)</f>
        <v/>
      </c>
      <c r="K212" s="359" t="str">
        <f>IF(I212="","",IF(I212&lt;70%,"Red",IF(AND(I212&gt;=70%,I212&lt;90%),"Yellow",IF(I212&gt;=90%,"Green"))))</f>
        <v/>
      </c>
      <c r="L212" s="374" t="str">
        <f>IF(K212="Red",1,IF(K212="Yellow",2,IF(K212="Green",3,"")))</f>
        <v/>
      </c>
      <c r="M212" s="364"/>
      <c r="N212" s="362"/>
    </row>
    <row r="213" spans="2:55" s="355" customFormat="1" ht="15.75">
      <c r="B213" s="2"/>
      <c r="C213" s="53" t="s">
        <v>83</v>
      </c>
      <c r="D213" s="208"/>
      <c r="E213" s="73"/>
      <c r="F213" s="73"/>
      <c r="G213" s="73"/>
      <c r="H213" s="73"/>
      <c r="I213" s="373" t="str">
        <f>IF(OR(F209="",F209=0,F210=""),"",F210/F209)</f>
        <v/>
      </c>
      <c r="K213" s="359" t="str">
        <f t="shared" ref="K213:K214" si="55">IF(I213="","",IF(I213&lt;70%,"Red",IF(AND(I213&gt;=70%,I213&lt;90%),"Yellow",IF(I213&gt;=90%,"Green"))))</f>
        <v/>
      </c>
      <c r="L213" s="374" t="str">
        <f t="shared" ref="L213:L214" si="56">IF(K213="Red",1,IF(K213="Yellow",2,IF(K213="Green",3,"")))</f>
        <v/>
      </c>
      <c r="M213" s="364"/>
      <c r="N213" s="362"/>
    </row>
    <row r="214" spans="2:55" s="355" customFormat="1" ht="16.5" thickBot="1">
      <c r="B214" s="2"/>
      <c r="C214" s="54" t="s">
        <v>84</v>
      </c>
      <c r="D214" s="210"/>
      <c r="E214" s="19"/>
      <c r="F214" s="19"/>
      <c r="G214" s="19"/>
      <c r="H214" s="19"/>
      <c r="I214" s="373" t="str">
        <f>IF(OR(G209="",G209=0,G210=""),"",G210/G209)</f>
        <v/>
      </c>
      <c r="K214" s="359" t="str">
        <f t="shared" si="55"/>
        <v/>
      </c>
      <c r="L214" s="374" t="str">
        <f t="shared" si="56"/>
        <v/>
      </c>
      <c r="M214" s="364"/>
      <c r="N214" s="362"/>
    </row>
    <row r="215" spans="2:55" s="355" customFormat="1" ht="31.5" customHeight="1" thickBot="1">
      <c r="B215" s="3"/>
      <c r="C215" s="277" t="s">
        <v>178</v>
      </c>
      <c r="D215" s="436"/>
      <c r="E215" s="437"/>
      <c r="F215" s="437"/>
      <c r="G215" s="437"/>
      <c r="H215" s="438"/>
      <c r="I215" s="67" t="str">
        <f>IF(I197="NA","Not Applicable",IF(L215="","",IF(L215&lt;20,"Needs Urgent Remediation",IF(AND(L215&gt;=20,L215&lt;29),"Needs Improvement",IF(L215&gt;=29,"Meets Standard")))))</f>
        <v>Needs Urgent Remediation</v>
      </c>
      <c r="K215" s="365"/>
      <c r="L215" s="366">
        <f>IF(COUNTA(L199:L214)=0,"",SUM(L199:L202,L204:L207,L211:L214))</f>
        <v>0</v>
      </c>
      <c r="M215" s="367" t="s">
        <v>153</v>
      </c>
      <c r="N215" s="368">
        <f>IF(I215="Not Applicable",0,IF(I215="Needs Urgent Remediation",1,IF(I215="Needs Improvement",2,IF(I215="Meets Standard",3,""))))</f>
        <v>1</v>
      </c>
    </row>
    <row r="216" spans="2:55" ht="15" thickBot="1">
      <c r="B216" s="23"/>
      <c r="C216" s="263"/>
      <c r="K216" s="353"/>
      <c r="L216" s="353"/>
      <c r="M216" s="353"/>
    </row>
    <row r="217" spans="2:55" s="355" customFormat="1" ht="50.25" customHeight="1">
      <c r="B217" s="29" t="s">
        <v>179</v>
      </c>
      <c r="C217" s="293" t="s">
        <v>180</v>
      </c>
      <c r="D217" s="294"/>
      <c r="E217" s="294"/>
      <c r="F217" s="294"/>
      <c r="G217" s="295"/>
      <c r="H217" s="169"/>
      <c r="I217" s="388"/>
      <c r="K217" s="369"/>
      <c r="L217" s="369"/>
      <c r="M217" s="369"/>
      <c r="N217" s="356"/>
    </row>
    <row r="218" spans="2:55" s="355" customFormat="1" ht="30" customHeight="1">
      <c r="B218" s="2"/>
      <c r="C218" s="42" t="s">
        <v>181</v>
      </c>
      <c r="D218" s="430" t="s">
        <v>182</v>
      </c>
      <c r="E218" s="431"/>
      <c r="F218" s="431"/>
      <c r="G218" s="432"/>
      <c r="H218" s="66"/>
      <c r="I218" s="103"/>
      <c r="K218" s="358"/>
      <c r="L218" s="358"/>
      <c r="M218" s="358"/>
      <c r="N218" s="362"/>
    </row>
    <row r="219" spans="2:55" s="355" customFormat="1" ht="30" customHeight="1">
      <c r="B219" s="2"/>
      <c r="C219" s="42" t="s">
        <v>183</v>
      </c>
      <c r="D219" s="433"/>
      <c r="E219" s="434"/>
      <c r="F219" s="434"/>
      <c r="G219" s="435"/>
      <c r="H219" s="63" t="s">
        <v>49</v>
      </c>
      <c r="I219" s="6" t="s">
        <v>132</v>
      </c>
      <c r="K219" s="359"/>
      <c r="L219" s="360" t="str">
        <f t="shared" ref="L219:L223" si="57">IF(K219="Red",1,IF(K219="Yellow",2,IF(K219="Green",3,"")))</f>
        <v/>
      </c>
      <c r="M219" s="358"/>
      <c r="N219" s="362"/>
    </row>
    <row r="220" spans="2:55" s="355" customFormat="1" ht="17.850000000000001" customHeight="1">
      <c r="B220" s="2"/>
      <c r="C220" s="53" t="s">
        <v>100</v>
      </c>
      <c r="D220" s="204"/>
      <c r="E220" s="281"/>
      <c r="F220" s="281"/>
      <c r="G220" s="281"/>
      <c r="H220" s="205"/>
      <c r="I220" s="1"/>
      <c r="K220" s="359" t="str">
        <f>IF(I220="Yes","Green",IF(I220="No","Red",""))</f>
        <v/>
      </c>
      <c r="L220" s="360" t="str">
        <f t="shared" ref="L220" si="58">IF(K220="Red",1,IF(K220="Yellow",2,IF(K220="Green",3,"")))</f>
        <v/>
      </c>
      <c r="M220" s="364"/>
      <c r="N220" s="362"/>
    </row>
    <row r="221" spans="2:55" s="355" customFormat="1" ht="15.75">
      <c r="B221" s="2"/>
      <c r="C221" s="38" t="s">
        <v>82</v>
      </c>
      <c r="D221" s="206"/>
      <c r="E221" s="72"/>
      <c r="F221" s="72"/>
      <c r="G221" s="72"/>
      <c r="H221" s="72"/>
      <c r="I221" s="1"/>
      <c r="K221" s="359" t="str">
        <f>IF(I221="Yes","Green",IF(I221="No","Red",""))</f>
        <v/>
      </c>
      <c r="L221" s="360" t="str">
        <f t="shared" si="57"/>
        <v/>
      </c>
      <c r="M221" s="358"/>
      <c r="N221" s="362"/>
    </row>
    <row r="222" spans="2:55" s="355" customFormat="1" ht="15.75">
      <c r="B222" s="2"/>
      <c r="C222" s="39" t="s">
        <v>83</v>
      </c>
      <c r="D222" s="208"/>
      <c r="E222" s="73"/>
      <c r="F222" s="73"/>
      <c r="G222" s="73"/>
      <c r="H222" s="73"/>
      <c r="I222" s="1"/>
      <c r="K222" s="359" t="str">
        <f>IF(I222="Yes","Green",IF(I222="No","Red",""))</f>
        <v/>
      </c>
      <c r="L222" s="360" t="str">
        <f t="shared" si="57"/>
        <v/>
      </c>
      <c r="M222" s="358"/>
      <c r="N222" s="362"/>
    </row>
    <row r="223" spans="2:55" s="355" customFormat="1" ht="15.75">
      <c r="B223" s="2"/>
      <c r="C223" s="40" t="s">
        <v>84</v>
      </c>
      <c r="D223" s="210"/>
      <c r="E223" s="19"/>
      <c r="F223" s="19"/>
      <c r="G223" s="19"/>
      <c r="H223" s="19"/>
      <c r="I223" s="1"/>
      <c r="K223" s="359" t="str">
        <f>IF(I223="Yes","Green",IF(I223="No","Red",""))</f>
        <v/>
      </c>
      <c r="L223" s="360" t="str">
        <f t="shared" si="57"/>
        <v/>
      </c>
      <c r="M223" s="358"/>
      <c r="N223" s="362"/>
    </row>
    <row r="224" spans="2:55" s="355" customFormat="1" ht="128.25">
      <c r="B224" s="2"/>
      <c r="C224" s="296" t="s">
        <v>184</v>
      </c>
      <c r="D224" s="290" t="s">
        <v>86</v>
      </c>
      <c r="E224" s="7" t="s">
        <v>87</v>
      </c>
      <c r="F224" s="7" t="s">
        <v>88</v>
      </c>
      <c r="G224" s="7" t="s">
        <v>89</v>
      </c>
      <c r="H224" s="450" t="s">
        <v>92</v>
      </c>
      <c r="I224" s="457" t="s">
        <v>90</v>
      </c>
      <c r="K224" s="358"/>
      <c r="L224" s="358"/>
      <c r="M224" s="358"/>
      <c r="N224" s="362"/>
      <c r="BB224" s="389"/>
      <c r="BC224" s="389"/>
    </row>
    <row r="225" spans="2:14" s="355" customFormat="1" ht="30" customHeight="1">
      <c r="B225" s="2"/>
      <c r="C225" s="191" t="s">
        <v>185</v>
      </c>
      <c r="D225" s="106"/>
      <c r="E225" s="106"/>
      <c r="F225" s="106"/>
      <c r="G225" s="106"/>
      <c r="H225" s="458"/>
      <c r="I225" s="452"/>
      <c r="K225" s="358"/>
      <c r="L225" s="358"/>
      <c r="M225" s="358"/>
      <c r="N225" s="362"/>
    </row>
    <row r="226" spans="2:14" s="355" customFormat="1" ht="30" customHeight="1">
      <c r="B226" s="2"/>
      <c r="C226" s="191" t="s">
        <v>186</v>
      </c>
      <c r="D226" s="106"/>
      <c r="E226" s="106"/>
      <c r="F226" s="106"/>
      <c r="G226" s="106"/>
      <c r="H226" s="451"/>
      <c r="I226" s="453"/>
      <c r="K226" s="358"/>
      <c r="L226" s="358"/>
      <c r="M226" s="358"/>
      <c r="N226" s="362"/>
    </row>
    <row r="227" spans="2:14" s="355" customFormat="1" ht="17.850000000000001" customHeight="1">
      <c r="B227" s="2"/>
      <c r="C227" s="53" t="s">
        <v>81</v>
      </c>
      <c r="D227" s="204"/>
      <c r="E227" s="281"/>
      <c r="F227" s="281"/>
      <c r="G227" s="281"/>
      <c r="H227" s="205"/>
      <c r="I227" s="373" t="str">
        <f>IF(OR(D225="",D225=0,D226=""),"",D226/D225)</f>
        <v/>
      </c>
      <c r="K227" s="359" t="str">
        <f>IF(I227="","",IF(I227&lt;70%,"Red",IF(AND(I227&gt;=70%,I227&lt;90%),"Yellow",IF(I227&gt;=90%,"Green"))))</f>
        <v/>
      </c>
      <c r="L227" s="374" t="str">
        <f>IF(K227="Red",1,IF(K227="Yellow",2,IF(K227="Green",3,"")))</f>
        <v/>
      </c>
      <c r="M227" s="364"/>
      <c r="N227" s="362"/>
    </row>
    <row r="228" spans="2:14" s="355" customFormat="1" ht="15.75">
      <c r="B228" s="2"/>
      <c r="C228" s="52" t="s">
        <v>82</v>
      </c>
      <c r="D228" s="206"/>
      <c r="E228" s="72"/>
      <c r="F228" s="72"/>
      <c r="G228" s="72"/>
      <c r="H228" s="72"/>
      <c r="I228" s="373" t="str">
        <f>IF(OR(E225="",E225=0,E226=""),"",E226/E225)</f>
        <v/>
      </c>
      <c r="K228" s="359" t="str">
        <f>IF(I228="","",IF(I228&lt;70%,"Red",IF(AND(I228&gt;=70%,I228&lt;90%),"Yellow",IF(I228&gt;=90%,"Green"))))</f>
        <v/>
      </c>
      <c r="L228" s="374" t="str">
        <f>IF(K228="Red",1,IF(K228="Yellow",2,IF(K228="Green",3,"")))</f>
        <v/>
      </c>
      <c r="M228" s="364"/>
      <c r="N228" s="362"/>
    </row>
    <row r="229" spans="2:14" s="355" customFormat="1" ht="15.75">
      <c r="B229" s="2"/>
      <c r="C229" s="53" t="s">
        <v>83</v>
      </c>
      <c r="D229" s="208"/>
      <c r="E229" s="73"/>
      <c r="F229" s="73"/>
      <c r="G229" s="73"/>
      <c r="H229" s="73"/>
      <c r="I229" s="373" t="str">
        <f>IF(OR(F225="",F225=0,F226=""),"",F226/F225)</f>
        <v/>
      </c>
      <c r="K229" s="359" t="str">
        <f t="shared" ref="K229:K230" si="59">IF(I229="","",IF(I229&lt;70%,"Red",IF(AND(I229&gt;=70%,I229&lt;90%),"Yellow",IF(I229&gt;=90%,"Green"))))</f>
        <v/>
      </c>
      <c r="L229" s="374" t="str">
        <f t="shared" ref="L229:L230" si="60">IF(K229="Red",1,IF(K229="Yellow",2,IF(K229="Green",3,"")))</f>
        <v/>
      </c>
      <c r="M229" s="364"/>
      <c r="N229" s="362"/>
    </row>
    <row r="230" spans="2:14" s="355" customFormat="1" ht="15.75">
      <c r="B230" s="2"/>
      <c r="C230" s="54" t="s">
        <v>84</v>
      </c>
      <c r="D230" s="210"/>
      <c r="E230" s="19"/>
      <c r="F230" s="19"/>
      <c r="G230" s="19"/>
      <c r="H230" s="19"/>
      <c r="I230" s="373" t="str">
        <f>IF(OR(G225="",G225=0,G226=""),"",G226/G225)</f>
        <v/>
      </c>
      <c r="K230" s="359" t="str">
        <f t="shared" si="59"/>
        <v/>
      </c>
      <c r="L230" s="374" t="str">
        <f t="shared" si="60"/>
        <v/>
      </c>
      <c r="M230" s="364"/>
      <c r="N230" s="362"/>
    </row>
    <row r="231" spans="2:14" s="355" customFormat="1" ht="57" customHeight="1">
      <c r="B231" s="2"/>
      <c r="C231" s="42" t="s">
        <v>187</v>
      </c>
      <c r="D231" s="290" t="s">
        <v>86</v>
      </c>
      <c r="E231" s="7" t="s">
        <v>87</v>
      </c>
      <c r="F231" s="7" t="s">
        <v>88</v>
      </c>
      <c r="G231" s="7" t="s">
        <v>89</v>
      </c>
      <c r="H231" s="439" t="s">
        <v>92</v>
      </c>
      <c r="I231" s="457" t="s">
        <v>90</v>
      </c>
      <c r="K231" s="358"/>
      <c r="L231" s="358"/>
      <c r="M231" s="358"/>
      <c r="N231" s="362"/>
    </row>
    <row r="232" spans="2:14" s="355" customFormat="1" ht="30" customHeight="1">
      <c r="B232" s="2"/>
      <c r="C232" s="42" t="s">
        <v>188</v>
      </c>
      <c r="D232" s="106"/>
      <c r="E232" s="106"/>
      <c r="F232" s="106"/>
      <c r="G232" s="106"/>
      <c r="H232" s="440"/>
      <c r="I232" s="452"/>
      <c r="K232" s="358"/>
      <c r="L232" s="358"/>
      <c r="M232" s="358"/>
      <c r="N232" s="362"/>
    </row>
    <row r="233" spans="2:14" s="355" customFormat="1" ht="30" customHeight="1">
      <c r="B233" s="2"/>
      <c r="C233" s="42" t="s">
        <v>189</v>
      </c>
      <c r="D233" s="106"/>
      <c r="E233" s="106"/>
      <c r="F233" s="106"/>
      <c r="G233" s="106"/>
      <c r="H233" s="459"/>
      <c r="I233" s="453"/>
      <c r="K233" s="358"/>
      <c r="L233" s="358"/>
      <c r="M233" s="358"/>
      <c r="N233" s="362"/>
    </row>
    <row r="234" spans="2:14" s="355" customFormat="1" ht="17.850000000000001" customHeight="1">
      <c r="B234" s="2"/>
      <c r="C234" s="53" t="s">
        <v>81</v>
      </c>
      <c r="D234" s="204"/>
      <c r="E234" s="281"/>
      <c r="F234" s="281"/>
      <c r="G234" s="281"/>
      <c r="H234" s="205"/>
      <c r="I234" s="373" t="str">
        <f>IF(OR(D232="",D232=0,D233=""),"",D233/D232)</f>
        <v/>
      </c>
      <c r="K234" s="359" t="str">
        <f>IF(I234="","",IF(I234&lt;70%,"Red",IF(AND(I234&gt;=70%,I234&lt;90%),"Yellow",IF(I234&gt;=90%,"Green"))))</f>
        <v/>
      </c>
      <c r="L234" s="374" t="str">
        <f>IF(K234="Red",1,IF(K234="Yellow",2,IF(K234="Green",3,"")))</f>
        <v/>
      </c>
      <c r="M234" s="364"/>
      <c r="N234" s="362"/>
    </row>
    <row r="235" spans="2:14" s="355" customFormat="1" ht="15.75">
      <c r="B235" s="2"/>
      <c r="C235" s="52" t="s">
        <v>82</v>
      </c>
      <c r="D235" s="206"/>
      <c r="E235" s="72"/>
      <c r="F235" s="72"/>
      <c r="G235" s="72"/>
      <c r="H235" s="72"/>
      <c r="I235" s="373" t="str">
        <f>IF(OR(E232="",E232=0,E233=""),"",E233/E232)</f>
        <v/>
      </c>
      <c r="K235" s="359" t="str">
        <f>IF(I235="","",IF(I235&lt;70%,"Red",IF(AND(I235&gt;=70%,I235&lt;90%),"Yellow",IF(I235&gt;=90%,"Green"))))</f>
        <v/>
      </c>
      <c r="L235" s="374" t="str">
        <f>IF(K235="Red",1,IF(K235="Yellow",2,IF(K235="Green",3,"")))</f>
        <v/>
      </c>
      <c r="M235" s="364"/>
      <c r="N235" s="362"/>
    </row>
    <row r="236" spans="2:14" s="355" customFormat="1" ht="15.75">
      <c r="B236" s="2"/>
      <c r="C236" s="53" t="s">
        <v>83</v>
      </c>
      <c r="D236" s="208"/>
      <c r="E236" s="73"/>
      <c r="F236" s="73"/>
      <c r="G236" s="73"/>
      <c r="H236" s="73"/>
      <c r="I236" s="373" t="str">
        <f>IF(OR(F232="",F232=0,F233=""),"",F233/F232)</f>
        <v/>
      </c>
      <c r="K236" s="359" t="str">
        <f t="shared" ref="K236:K237" si="61">IF(I236="","",IF(I236&lt;70%,"Red",IF(AND(I236&gt;=70%,I236&lt;90%),"Yellow",IF(I236&gt;=90%,"Green"))))</f>
        <v/>
      </c>
      <c r="L236" s="374" t="str">
        <f t="shared" ref="L236:L237" si="62">IF(K236="Red",1,IF(K236="Yellow",2,IF(K236="Green",3,"")))</f>
        <v/>
      </c>
      <c r="M236" s="364"/>
      <c r="N236" s="362"/>
    </row>
    <row r="237" spans="2:14" s="355" customFormat="1" ht="16.5" thickBot="1">
      <c r="B237" s="2"/>
      <c r="C237" s="54" t="s">
        <v>84</v>
      </c>
      <c r="D237" s="210"/>
      <c r="E237" s="19"/>
      <c r="F237" s="19"/>
      <c r="G237" s="19"/>
      <c r="H237" s="19"/>
      <c r="I237" s="373" t="str">
        <f>IF(OR(G232="",G232=0,G233=""),"",G233/G232)</f>
        <v/>
      </c>
      <c r="K237" s="359" t="str">
        <f t="shared" si="61"/>
        <v/>
      </c>
      <c r="L237" s="374" t="str">
        <f t="shared" si="62"/>
        <v/>
      </c>
      <c r="M237" s="364"/>
      <c r="N237" s="362"/>
    </row>
    <row r="238" spans="2:14" ht="33.6" customHeight="1" thickBot="1">
      <c r="B238" s="3"/>
      <c r="C238" s="277" t="s">
        <v>190</v>
      </c>
      <c r="D238" s="436"/>
      <c r="E238" s="437"/>
      <c r="F238" s="437"/>
      <c r="G238" s="437"/>
      <c r="H238" s="438"/>
      <c r="I238" s="67" t="str">
        <f>IF(I218="NA","Not Applicable",IF(L238="","",IF(L238&lt;20,"Needs Urgent Remediation",IF(AND(L238&gt;=20,L238&lt;29),"Needs Improvement",IF(L238&gt;=29,"Meets Standard")))))</f>
        <v>Needs Urgent Remediation</v>
      </c>
      <c r="K238" s="390"/>
      <c r="L238" s="366">
        <f>IF(COUNTA(K220:K237)=0,"",SUM(L220:L223,L227:L230,L234:L237))</f>
        <v>0</v>
      </c>
      <c r="M238" s="367" t="s">
        <v>153</v>
      </c>
      <c r="N238" s="368">
        <f>IF(I238="Not Applicable",0,IF(I238="Needs Urgent Remediation",1,IF(I238="Needs Improvement",2,IF(I238="Meets Standard",3,""))))</f>
        <v>1</v>
      </c>
    </row>
    <row r="239" spans="2:14" ht="15" thickBot="1">
      <c r="B239" s="23"/>
      <c r="C239" s="263"/>
      <c r="K239" s="353"/>
      <c r="L239" s="353"/>
      <c r="M239" s="353"/>
    </row>
    <row r="240" spans="2:14" s="355" customFormat="1" ht="50.25" customHeight="1">
      <c r="B240" s="30" t="s">
        <v>191</v>
      </c>
      <c r="C240" s="170" t="s">
        <v>192</v>
      </c>
      <c r="D240" s="227"/>
      <c r="E240" s="297"/>
      <c r="F240" s="297"/>
      <c r="G240" s="298"/>
      <c r="H240" s="169"/>
      <c r="I240" s="388"/>
      <c r="K240" s="369"/>
      <c r="L240" s="369"/>
      <c r="M240" s="369"/>
      <c r="N240" s="356"/>
    </row>
    <row r="241" spans="2:14" s="355" customFormat="1" ht="45" customHeight="1">
      <c r="B241" s="2"/>
      <c r="C241" s="226" t="s">
        <v>193</v>
      </c>
      <c r="D241" s="520"/>
      <c r="E241" s="520"/>
      <c r="F241" s="520"/>
      <c r="G241" s="520"/>
      <c r="H241" s="194" t="s">
        <v>49</v>
      </c>
      <c r="I241" s="6" t="s">
        <v>132</v>
      </c>
      <c r="K241" s="359"/>
      <c r="L241" s="360" t="str">
        <f t="shared" ref="L241:L245" si="63">IF(K241="Red",1,IF(K241="Yellow",2,IF(K241="Green",3,"")))</f>
        <v/>
      </c>
      <c r="M241" s="358"/>
      <c r="N241" s="362"/>
    </row>
    <row r="242" spans="2:14" s="355" customFormat="1" ht="17.850000000000001" customHeight="1">
      <c r="B242" s="2"/>
      <c r="C242" s="53" t="s">
        <v>100</v>
      </c>
      <c r="D242" s="204"/>
      <c r="E242" s="281"/>
      <c r="F242" s="281"/>
      <c r="G242" s="281"/>
      <c r="H242" s="205"/>
      <c r="I242" s="1"/>
      <c r="K242" s="359" t="str">
        <f>IF(I242="Yes","Green",IF(I242="No","Red",""))</f>
        <v/>
      </c>
      <c r="L242" s="360" t="str">
        <f t="shared" ref="L242" si="64">IF(K242="Red",1,IF(K242="Yellow",2,IF(K242="Green",3,"")))</f>
        <v/>
      </c>
      <c r="M242" s="364"/>
      <c r="N242" s="362"/>
    </row>
    <row r="243" spans="2:14" s="355" customFormat="1" ht="15.75">
      <c r="B243" s="2"/>
      <c r="C243" s="52" t="s">
        <v>82</v>
      </c>
      <c r="D243" s="206"/>
      <c r="E243" s="72"/>
      <c r="F243" s="72"/>
      <c r="G243" s="72"/>
      <c r="H243" s="72"/>
      <c r="I243" s="1"/>
      <c r="K243" s="359" t="str">
        <f>IF(I243="Yes","Green",IF(I243="No","Red",""))</f>
        <v/>
      </c>
      <c r="L243" s="360" t="str">
        <f t="shared" si="63"/>
        <v/>
      </c>
      <c r="M243" s="358"/>
      <c r="N243" s="362"/>
    </row>
    <row r="244" spans="2:14" s="355" customFormat="1" ht="15.75">
      <c r="B244" s="2"/>
      <c r="C244" s="53" t="s">
        <v>83</v>
      </c>
      <c r="D244" s="208"/>
      <c r="E244" s="73"/>
      <c r="F244" s="73"/>
      <c r="G244" s="73"/>
      <c r="H244" s="73"/>
      <c r="I244" s="1"/>
      <c r="K244" s="359" t="str">
        <f>IF(I244="Yes","Green",IF(I244="No","Red",""))</f>
        <v/>
      </c>
      <c r="L244" s="360" t="str">
        <f t="shared" si="63"/>
        <v/>
      </c>
      <c r="M244" s="358"/>
      <c r="N244" s="362"/>
    </row>
    <row r="245" spans="2:14" s="355" customFormat="1" ht="15.75">
      <c r="B245" s="2"/>
      <c r="C245" s="54" t="s">
        <v>84</v>
      </c>
      <c r="D245" s="210"/>
      <c r="E245" s="19"/>
      <c r="F245" s="19"/>
      <c r="G245" s="19"/>
      <c r="H245" s="19"/>
      <c r="I245" s="1"/>
      <c r="K245" s="359" t="str">
        <f>IF(I245="Yes","Green",IF(I245="No","Red",""))</f>
        <v/>
      </c>
      <c r="L245" s="360" t="str">
        <f t="shared" si="63"/>
        <v/>
      </c>
      <c r="M245" s="358"/>
      <c r="N245" s="362"/>
    </row>
    <row r="246" spans="2:14" s="355" customFormat="1" ht="58.5">
      <c r="B246" s="15"/>
      <c r="C246" s="226" t="s">
        <v>194</v>
      </c>
      <c r="D246" s="290" t="s">
        <v>86</v>
      </c>
      <c r="E246" s="24" t="s">
        <v>87</v>
      </c>
      <c r="F246" s="24" t="s">
        <v>88</v>
      </c>
      <c r="G246" s="24" t="s">
        <v>89</v>
      </c>
      <c r="H246" s="454" t="s">
        <v>195</v>
      </c>
      <c r="I246" s="457" t="s">
        <v>196</v>
      </c>
      <c r="K246" s="358"/>
      <c r="L246" s="358"/>
      <c r="M246" s="358"/>
      <c r="N246" s="362"/>
    </row>
    <row r="247" spans="2:14" s="355" customFormat="1" ht="14.1" customHeight="1">
      <c r="B247" s="15"/>
      <c r="C247" s="226" t="s">
        <v>197</v>
      </c>
      <c r="D247" s="106"/>
      <c r="E247" s="106"/>
      <c r="F247" s="106"/>
      <c r="G247" s="106"/>
      <c r="H247" s="455"/>
      <c r="I247" s="452"/>
      <c r="K247" s="358"/>
      <c r="L247" s="358"/>
      <c r="M247" s="358"/>
      <c r="N247" s="362"/>
    </row>
    <row r="248" spans="2:14" s="355" customFormat="1" ht="15">
      <c r="B248" s="15"/>
      <c r="C248" s="226" t="s">
        <v>198</v>
      </c>
      <c r="D248" s="106"/>
      <c r="E248" s="106"/>
      <c r="F248" s="106"/>
      <c r="G248" s="106"/>
      <c r="H248" s="455"/>
      <c r="I248" s="452"/>
      <c r="K248" s="358"/>
      <c r="L248" s="358"/>
      <c r="M248" s="358"/>
      <c r="N248" s="362"/>
    </row>
    <row r="249" spans="2:14" s="355" customFormat="1" ht="15">
      <c r="B249" s="15"/>
      <c r="C249" s="226" t="s">
        <v>199</v>
      </c>
      <c r="D249" s="106"/>
      <c r="E249" s="106"/>
      <c r="F249" s="106"/>
      <c r="G249" s="106"/>
      <c r="H249" s="455"/>
      <c r="I249" s="452"/>
      <c r="K249" s="358"/>
      <c r="L249" s="358"/>
      <c r="M249" s="358"/>
      <c r="N249" s="362"/>
    </row>
    <row r="250" spans="2:14" s="355" customFormat="1" ht="15">
      <c r="B250" s="15"/>
      <c r="C250" s="226" t="s">
        <v>200</v>
      </c>
      <c r="D250" s="106"/>
      <c r="E250" s="106"/>
      <c r="F250" s="106"/>
      <c r="G250" s="106"/>
      <c r="H250" s="456"/>
      <c r="I250" s="453"/>
      <c r="K250" s="358"/>
      <c r="L250" s="358"/>
      <c r="M250" s="358"/>
      <c r="N250" s="362"/>
    </row>
    <row r="251" spans="2:14" s="355" customFormat="1" ht="17.850000000000001" customHeight="1">
      <c r="B251" s="2"/>
      <c r="C251" s="53" t="s">
        <v>81</v>
      </c>
      <c r="D251" s="204"/>
      <c r="E251" s="281"/>
      <c r="F251" s="281"/>
      <c r="G251" s="281"/>
      <c r="H251" s="205"/>
      <c r="I251" s="391" t="str">
        <f>IF(COUNTA(D247:D250)=0,"",COUNTIF(D247:D250,"Yes"))</f>
        <v/>
      </c>
      <c r="K251" s="359" t="str">
        <f>IF(I251="","",IF(I251&lt;70%,"Red",IF(AND(I251&gt;=70%,I251&lt;90%),"Yellow",IF(I251&gt;=90%,"Green"))))</f>
        <v/>
      </c>
      <c r="L251" s="374" t="str">
        <f>IF(K251="Red",1,IF(K251="Yellow",2,IF(K251="Green",3,"")))</f>
        <v/>
      </c>
      <c r="M251" s="364"/>
      <c r="N251" s="362"/>
    </row>
    <row r="252" spans="2:14" s="355" customFormat="1" ht="15.75">
      <c r="B252" s="2"/>
      <c r="C252" s="60" t="s">
        <v>82</v>
      </c>
      <c r="D252" s="206"/>
      <c r="E252" s="72"/>
      <c r="F252" s="72"/>
      <c r="G252" s="72"/>
      <c r="H252" s="72"/>
      <c r="I252" s="391" t="str">
        <f>IF(COUNTA(E247:E250)=0,"",COUNTIF(E247:E250,"Yes"))</f>
        <v/>
      </c>
      <c r="K252" s="359" t="str">
        <f>IF(I252="","",IF(I252&lt;2,"Red",IF(I252=2,"Yellow",IF(I252&gt;=3,"Green"))))</f>
        <v/>
      </c>
      <c r="L252" s="374" t="str">
        <f t="shared" ref="L252:L254" si="65">IF(K252="Red",1,IF(K252="Yellow",2,IF(K252="Green",3,"")))</f>
        <v/>
      </c>
      <c r="M252" s="358"/>
      <c r="N252" s="362"/>
    </row>
    <row r="253" spans="2:14" s="355" customFormat="1" ht="15.75">
      <c r="B253" s="2"/>
      <c r="C253" s="53" t="s">
        <v>83</v>
      </c>
      <c r="D253" s="208"/>
      <c r="E253" s="73"/>
      <c r="F253" s="73"/>
      <c r="G253" s="73"/>
      <c r="H253" s="73"/>
      <c r="I253" s="391" t="str">
        <f>IF(COUNTA(F247:F250)=0,"",COUNTIF(F247:F250,"Yes"))</f>
        <v/>
      </c>
      <c r="K253" s="359" t="str">
        <f t="shared" ref="K253:K254" si="66">IF(I253="","",IF(I253&lt;2,"Red",IF(I253=2,"Yellow",IF(I253&gt;=3,"Green"))))</f>
        <v/>
      </c>
      <c r="L253" s="374" t="str">
        <f t="shared" si="65"/>
        <v/>
      </c>
      <c r="M253" s="358"/>
      <c r="N253" s="362"/>
    </row>
    <row r="254" spans="2:14" s="355" customFormat="1" ht="15.75">
      <c r="B254" s="2"/>
      <c r="C254" s="61" t="s">
        <v>84</v>
      </c>
      <c r="D254" s="210"/>
      <c r="E254" s="19"/>
      <c r="F254" s="19"/>
      <c r="G254" s="19"/>
      <c r="H254" s="19"/>
      <c r="I254" s="391" t="str">
        <f>IF(COUNTA(G247:G250)=0,"",COUNTIF(G247:G250,"Yes"))</f>
        <v/>
      </c>
      <c r="K254" s="359" t="str">
        <f t="shared" si="66"/>
        <v/>
      </c>
      <c r="L254" s="374" t="str">
        <f t="shared" si="65"/>
        <v/>
      </c>
      <c r="M254" s="358"/>
      <c r="N254" s="362"/>
    </row>
    <row r="255" spans="2:14" s="355" customFormat="1" ht="45.75" customHeight="1">
      <c r="B255" s="2"/>
      <c r="C255" s="191" t="s">
        <v>201</v>
      </c>
      <c r="D255" s="521" t="s">
        <v>202</v>
      </c>
      <c r="E255" s="522"/>
      <c r="F255" s="522"/>
      <c r="G255" s="523"/>
      <c r="H255" s="18"/>
      <c r="I255" s="103"/>
      <c r="K255" s="358"/>
      <c r="L255" s="358"/>
      <c r="M255" s="358"/>
      <c r="N255" s="362"/>
    </row>
    <row r="256" spans="2:14" s="355" customFormat="1" ht="71.25">
      <c r="B256" s="14"/>
      <c r="C256" s="226" t="s">
        <v>203</v>
      </c>
      <c r="D256" s="290" t="s">
        <v>86</v>
      </c>
      <c r="E256" s="7" t="s">
        <v>87</v>
      </c>
      <c r="F256" s="7" t="s">
        <v>88</v>
      </c>
      <c r="G256" s="7" t="s">
        <v>89</v>
      </c>
      <c r="H256" s="450" t="s">
        <v>92</v>
      </c>
      <c r="I256" s="457" t="s">
        <v>90</v>
      </c>
      <c r="K256" s="358"/>
      <c r="L256" s="358"/>
      <c r="M256" s="358"/>
      <c r="N256" s="362"/>
    </row>
    <row r="257" spans="2:14" s="355" customFormat="1" ht="30" customHeight="1">
      <c r="B257" s="2"/>
      <c r="C257" s="191" t="s">
        <v>204</v>
      </c>
      <c r="D257" s="106"/>
      <c r="E257" s="106"/>
      <c r="F257" s="106"/>
      <c r="G257" s="106"/>
      <c r="H257" s="458"/>
      <c r="I257" s="452"/>
      <c r="K257" s="358"/>
      <c r="L257" s="358"/>
      <c r="M257" s="358"/>
      <c r="N257" s="362"/>
    </row>
    <row r="258" spans="2:14" s="355" customFormat="1" ht="30" customHeight="1">
      <c r="B258" s="2"/>
      <c r="C258" s="191" t="s">
        <v>205</v>
      </c>
      <c r="D258" s="106"/>
      <c r="E258" s="106"/>
      <c r="F258" s="106"/>
      <c r="G258" s="106"/>
      <c r="H258" s="451"/>
      <c r="I258" s="453"/>
      <c r="K258" s="358"/>
      <c r="L258" s="358"/>
      <c r="M258" s="358"/>
      <c r="N258" s="362"/>
    </row>
    <row r="259" spans="2:14" s="355" customFormat="1" ht="17.850000000000001" customHeight="1">
      <c r="B259" s="2"/>
      <c r="C259" s="53" t="s">
        <v>81</v>
      </c>
      <c r="D259" s="204"/>
      <c r="E259" s="281"/>
      <c r="F259" s="281"/>
      <c r="G259" s="281"/>
      <c r="H259" s="205"/>
      <c r="I259" s="373" t="str">
        <f>IF(OR(D257="",D257=0,D258=""),"",D258/D257)</f>
        <v/>
      </c>
      <c r="K259" s="359" t="str">
        <f>IF(I259="","",IF(I259&lt;70%,"Red",IF(AND(I259&gt;=70%,I259&lt;90%),"Yellow",IF(I259&gt;=90%,"Green"))))</f>
        <v/>
      </c>
      <c r="L259" s="374" t="str">
        <f>IF(K259="Red",1,IF(K259="Yellow",2,IF(K259="Green",3,"")))</f>
        <v/>
      </c>
      <c r="M259" s="364"/>
      <c r="N259" s="362"/>
    </row>
    <row r="260" spans="2:14" s="355" customFormat="1" ht="15.75">
      <c r="B260" s="2"/>
      <c r="C260" s="52" t="s">
        <v>82</v>
      </c>
      <c r="D260" s="206"/>
      <c r="E260" s="72"/>
      <c r="F260" s="72"/>
      <c r="G260" s="72"/>
      <c r="H260" s="72"/>
      <c r="I260" s="373" t="str">
        <f>IF(OR(E257="",E257=0,E258=""),"",E258/E257)</f>
        <v/>
      </c>
      <c r="K260" s="359" t="str">
        <f>IF(I260="","",IF(I260&lt;70%,"Red",IF(AND(I260&gt;=70%,I260&lt;90%),"Yellow",IF(I260&gt;=90%,"Green"))))</f>
        <v/>
      </c>
      <c r="L260" s="374" t="str">
        <f>IF(K260="Red",1,IF(K260="Yellow",2,IF(K260="Green",3,"")))</f>
        <v/>
      </c>
      <c r="M260" s="364"/>
      <c r="N260" s="362"/>
    </row>
    <row r="261" spans="2:14" s="355" customFormat="1" ht="15.75">
      <c r="B261" s="2"/>
      <c r="C261" s="53" t="s">
        <v>83</v>
      </c>
      <c r="D261" s="208"/>
      <c r="E261" s="73"/>
      <c r="F261" s="73"/>
      <c r="G261" s="73"/>
      <c r="H261" s="73"/>
      <c r="I261" s="373" t="str">
        <f>IF(OR(F257="",F257=0,F258=""),"",F258/F257)</f>
        <v/>
      </c>
      <c r="K261" s="359" t="str">
        <f t="shared" ref="K261:K262" si="67">IF(I261="","",IF(I261&lt;70%,"Red",IF(AND(I261&gt;=70%,I261&lt;90%),"Yellow",IF(I261&gt;=90%,"Green"))))</f>
        <v/>
      </c>
      <c r="L261" s="374" t="str">
        <f t="shared" ref="L261:L262" si="68">IF(K261="Red",1,IF(K261="Yellow",2,IF(K261="Green",3,"")))</f>
        <v/>
      </c>
      <c r="M261" s="364"/>
      <c r="N261" s="362"/>
    </row>
    <row r="262" spans="2:14" s="355" customFormat="1" ht="15.75">
      <c r="B262" s="2"/>
      <c r="C262" s="54" t="s">
        <v>84</v>
      </c>
      <c r="D262" s="210"/>
      <c r="E262" s="19"/>
      <c r="F262" s="19"/>
      <c r="G262" s="19"/>
      <c r="H262" s="19"/>
      <c r="I262" s="373" t="str">
        <f>IF(OR(G257="",G257=0,G258=""),"",G258/G257)</f>
        <v/>
      </c>
      <c r="K262" s="359" t="str">
        <f t="shared" si="67"/>
        <v/>
      </c>
      <c r="L262" s="374" t="str">
        <f t="shared" si="68"/>
        <v/>
      </c>
      <c r="M262" s="364"/>
      <c r="N262" s="362"/>
    </row>
    <row r="263" spans="2:14" s="355" customFormat="1" ht="71.25">
      <c r="B263" s="15"/>
      <c r="C263" s="44" t="s">
        <v>206</v>
      </c>
      <c r="D263" s="290" t="s">
        <v>86</v>
      </c>
      <c r="E263" s="7" t="s">
        <v>87</v>
      </c>
      <c r="F263" s="7" t="s">
        <v>88</v>
      </c>
      <c r="G263" s="7" t="s">
        <v>89</v>
      </c>
      <c r="H263" s="450" t="s">
        <v>92</v>
      </c>
      <c r="I263" s="457" t="s">
        <v>90</v>
      </c>
      <c r="K263" s="358"/>
      <c r="L263" s="358"/>
      <c r="M263" s="358"/>
      <c r="N263" s="362"/>
    </row>
    <row r="264" spans="2:14" s="355" customFormat="1" ht="30" customHeight="1">
      <c r="B264" s="2"/>
      <c r="C264" s="42" t="s">
        <v>207</v>
      </c>
      <c r="D264" s="106"/>
      <c r="E264" s="106"/>
      <c r="F264" s="106"/>
      <c r="G264" s="106"/>
      <c r="H264" s="458"/>
      <c r="I264" s="452"/>
      <c r="K264" s="358"/>
      <c r="L264" s="358"/>
      <c r="M264" s="358"/>
      <c r="N264" s="362"/>
    </row>
    <row r="265" spans="2:14" s="355" customFormat="1" ht="30" customHeight="1">
      <c r="B265" s="2"/>
      <c r="C265" s="42" t="s">
        <v>208</v>
      </c>
      <c r="D265" s="106"/>
      <c r="E265" s="106"/>
      <c r="F265" s="106"/>
      <c r="G265" s="106"/>
      <c r="H265" s="451"/>
      <c r="I265" s="453"/>
      <c r="K265" s="358"/>
      <c r="L265" s="358"/>
      <c r="M265" s="358"/>
      <c r="N265" s="362"/>
    </row>
    <row r="266" spans="2:14" s="355" customFormat="1" ht="17.850000000000001" customHeight="1">
      <c r="B266" s="2"/>
      <c r="C266" s="53" t="s">
        <v>81</v>
      </c>
      <c r="D266" s="204"/>
      <c r="E266" s="281"/>
      <c r="F266" s="281"/>
      <c r="G266" s="281"/>
      <c r="H266" s="205"/>
      <c r="I266" s="373" t="str">
        <f>IF(OR(D264="",D264=0,D265=""),"",D265/D264)</f>
        <v/>
      </c>
      <c r="K266" s="359" t="str">
        <f>IF(I266="","",IF(I266&lt;70%,"Red",IF(AND(I266&gt;=70%,I266&lt;90%),"Yellow",IF(I266&gt;=90%,"Green"))))</f>
        <v/>
      </c>
      <c r="L266" s="374" t="str">
        <f>IF(K266="Red",1,IF(K266="Yellow",2,IF(K266="Green",3,"")))</f>
        <v/>
      </c>
      <c r="M266" s="364"/>
      <c r="N266" s="362"/>
    </row>
    <row r="267" spans="2:14" s="355" customFormat="1" ht="15.75">
      <c r="B267" s="2"/>
      <c r="C267" s="52" t="s">
        <v>82</v>
      </c>
      <c r="D267" s="206"/>
      <c r="E267" s="72"/>
      <c r="F267" s="72"/>
      <c r="G267" s="72"/>
      <c r="H267" s="72"/>
      <c r="I267" s="373" t="str">
        <f>IF(OR(E264="",E264=0,E265=""),"",E265/E264)</f>
        <v/>
      </c>
      <c r="K267" s="359" t="str">
        <f>IF(I267="","",IF(I267&lt;70%,"Red",IF(AND(I267&gt;=70%,I267&lt;90%),"Yellow",IF(I267&gt;=90%,"Green"))))</f>
        <v/>
      </c>
      <c r="L267" s="374" t="str">
        <f>IF(K267="Red",1,IF(K267="Yellow",2,IF(K267="Green",3,"")))</f>
        <v/>
      </c>
      <c r="M267" s="364"/>
      <c r="N267" s="362"/>
    </row>
    <row r="268" spans="2:14" s="355" customFormat="1" ht="15.75">
      <c r="B268" s="2"/>
      <c r="C268" s="53" t="s">
        <v>83</v>
      </c>
      <c r="D268" s="208"/>
      <c r="E268" s="73"/>
      <c r="F268" s="73"/>
      <c r="G268" s="73"/>
      <c r="H268" s="73"/>
      <c r="I268" s="373" t="str">
        <f>IF(OR(F264="",F264=0,F265=""),"",F265/F264)</f>
        <v/>
      </c>
      <c r="K268" s="359" t="str">
        <f t="shared" ref="K268:K269" si="69">IF(I268="","",IF(I268&lt;70%,"Red",IF(AND(I268&gt;=70%,I268&lt;90%),"Yellow",IF(I268&gt;=90%,"Green"))))</f>
        <v/>
      </c>
      <c r="L268" s="374" t="str">
        <f t="shared" ref="L268:L269" si="70">IF(K268="Red",1,IF(K268="Yellow",2,IF(K268="Green",3,"")))</f>
        <v/>
      </c>
      <c r="M268" s="364"/>
      <c r="N268" s="362"/>
    </row>
    <row r="269" spans="2:14" s="355" customFormat="1" ht="16.5" thickBot="1">
      <c r="B269" s="2"/>
      <c r="C269" s="54" t="s">
        <v>84</v>
      </c>
      <c r="D269" s="210"/>
      <c r="E269" s="19"/>
      <c r="F269" s="19"/>
      <c r="G269" s="19"/>
      <c r="H269" s="19"/>
      <c r="I269" s="373" t="str">
        <f>IF(OR(G264="",G264=0,G265=""),"",G265/G264)</f>
        <v/>
      </c>
      <c r="K269" s="359" t="str">
        <f t="shared" si="69"/>
        <v/>
      </c>
      <c r="L269" s="374" t="str">
        <f t="shared" si="70"/>
        <v/>
      </c>
      <c r="M269" s="364"/>
      <c r="N269" s="362"/>
    </row>
    <row r="270" spans="2:14" s="355" customFormat="1" ht="30.75" thickBot="1">
      <c r="B270" s="3"/>
      <c r="C270" s="277" t="s">
        <v>209</v>
      </c>
      <c r="D270" s="436"/>
      <c r="E270" s="437"/>
      <c r="F270" s="437"/>
      <c r="G270" s="437"/>
      <c r="H270" s="438"/>
      <c r="I270" s="225" t="str">
        <f>IF(I257="NA","Not Applicable",IF(L270="","",IF(L270&lt;27,"Needs Urgent Remediation",IF(AND(L270&gt;=27,L270&lt;38),"Needs Improvement",IF(L270&gt;=38,"Meets Standard")))))</f>
        <v>Needs Urgent Remediation</v>
      </c>
      <c r="K270" s="365"/>
      <c r="L270" s="366">
        <f>IF(COUNTA(L242:L269)=0,"",SUM(L242:L245,L251:L254,L259:L262,L266:L269))</f>
        <v>0</v>
      </c>
      <c r="M270" s="367" t="s">
        <v>127</v>
      </c>
      <c r="N270" s="368">
        <f>IF(I270="Not Applicable",0,IF(I270="Needs Urgent Remediation",1,IF(I270="Needs Improvement",2,IF(I270="Meets Standard",3,""))))</f>
        <v>1</v>
      </c>
    </row>
    <row r="271" spans="2:14" ht="15" thickBot="1">
      <c r="B271" s="23"/>
      <c r="C271" s="263"/>
      <c r="K271" s="353"/>
      <c r="L271" s="353"/>
      <c r="M271" s="353"/>
    </row>
    <row r="272" spans="2:14" s="355" customFormat="1" ht="62.25" customHeight="1">
      <c r="B272" s="29" t="s">
        <v>210</v>
      </c>
      <c r="C272" s="293" t="s">
        <v>211</v>
      </c>
      <c r="D272" s="294"/>
      <c r="E272" s="294"/>
      <c r="F272" s="294"/>
      <c r="G272" s="295"/>
      <c r="H272" s="171"/>
      <c r="I272" s="388"/>
      <c r="K272" s="369"/>
      <c r="L272" s="369"/>
      <c r="M272" s="369"/>
      <c r="N272" s="356"/>
    </row>
    <row r="273" spans="2:14" s="355" customFormat="1" ht="30" customHeight="1">
      <c r="B273" s="2"/>
      <c r="C273" s="46" t="s">
        <v>212</v>
      </c>
      <c r="D273" s="447"/>
      <c r="E273" s="448"/>
      <c r="F273" s="448"/>
      <c r="G273" s="449"/>
      <c r="H273" s="63" t="s">
        <v>49</v>
      </c>
      <c r="I273" s="6" t="s">
        <v>132</v>
      </c>
      <c r="K273" s="359"/>
      <c r="L273" s="360" t="str">
        <f t="shared" ref="L273:L277" si="71">IF(K273="Red",1,IF(K273="Yellow",2,IF(K273="Green",3,"")))</f>
        <v/>
      </c>
      <c r="M273" s="358"/>
      <c r="N273" s="362"/>
    </row>
    <row r="274" spans="2:14" s="355" customFormat="1" ht="17.850000000000001" customHeight="1">
      <c r="B274" s="2"/>
      <c r="C274" s="53" t="s">
        <v>100</v>
      </c>
      <c r="D274" s="204"/>
      <c r="E274" s="281"/>
      <c r="F274" s="281"/>
      <c r="G274" s="281"/>
      <c r="H274" s="205"/>
      <c r="I274" s="1"/>
      <c r="K274" s="359" t="str">
        <f>IF(I274="Yes","Green",IF(I274="No","Red",""))</f>
        <v/>
      </c>
      <c r="L274" s="360" t="str">
        <f t="shared" ref="L274" si="72">IF(K274="Red",1,IF(K274="Yellow",2,IF(K274="Green",3,"")))</f>
        <v/>
      </c>
      <c r="M274" s="364"/>
      <c r="N274" s="362"/>
    </row>
    <row r="275" spans="2:14" s="355" customFormat="1" ht="15.75">
      <c r="B275" s="2"/>
      <c r="C275" s="52" t="s">
        <v>82</v>
      </c>
      <c r="D275" s="206"/>
      <c r="E275" s="72"/>
      <c r="F275" s="72"/>
      <c r="G275" s="72"/>
      <c r="H275" s="72"/>
      <c r="I275" s="1"/>
      <c r="K275" s="359" t="str">
        <f>IF(I275="Yes","Green",IF(I275="No","Red",""))</f>
        <v/>
      </c>
      <c r="L275" s="360" t="str">
        <f t="shared" si="71"/>
        <v/>
      </c>
      <c r="M275" s="358"/>
      <c r="N275" s="362"/>
    </row>
    <row r="276" spans="2:14" s="355" customFormat="1" ht="15.75">
      <c r="B276" s="2"/>
      <c r="C276" s="53" t="s">
        <v>83</v>
      </c>
      <c r="D276" s="208"/>
      <c r="E276" s="73"/>
      <c r="F276" s="73"/>
      <c r="G276" s="73"/>
      <c r="H276" s="73"/>
      <c r="I276" s="1"/>
      <c r="K276" s="359" t="str">
        <f>IF(I276="Yes","Green",IF(I276="No","Red",""))</f>
        <v/>
      </c>
      <c r="L276" s="360" t="str">
        <f t="shared" si="71"/>
        <v/>
      </c>
      <c r="M276" s="358"/>
      <c r="N276" s="362"/>
    </row>
    <row r="277" spans="2:14" s="355" customFormat="1" ht="15.75">
      <c r="B277" s="2"/>
      <c r="C277" s="54" t="s">
        <v>84</v>
      </c>
      <c r="D277" s="210"/>
      <c r="E277" s="19"/>
      <c r="F277" s="19"/>
      <c r="G277" s="19"/>
      <c r="H277" s="19"/>
      <c r="I277" s="1"/>
      <c r="K277" s="359" t="str">
        <f>IF(I277="Yes","Green",IF(I277="No","Red",""))</f>
        <v/>
      </c>
      <c r="L277" s="360" t="str">
        <f t="shared" si="71"/>
        <v/>
      </c>
      <c r="M277" s="358"/>
      <c r="N277" s="362"/>
    </row>
    <row r="278" spans="2:14" s="355" customFormat="1" ht="85.5">
      <c r="B278" s="2"/>
      <c r="C278" s="47" t="s">
        <v>213</v>
      </c>
      <c r="D278" s="299" t="s">
        <v>86</v>
      </c>
      <c r="E278" s="202" t="s">
        <v>87</v>
      </c>
      <c r="F278" s="202" t="s">
        <v>88</v>
      </c>
      <c r="G278" s="202" t="s">
        <v>89</v>
      </c>
      <c r="H278" s="439" t="s">
        <v>92</v>
      </c>
      <c r="I278" s="457" t="s">
        <v>90</v>
      </c>
      <c r="K278" s="358"/>
      <c r="L278" s="358"/>
      <c r="M278" s="358"/>
      <c r="N278" s="362"/>
    </row>
    <row r="279" spans="2:14" s="355" customFormat="1" ht="30" customHeight="1">
      <c r="B279" s="2"/>
      <c r="C279" s="42" t="s">
        <v>214</v>
      </c>
      <c r="D279" s="106"/>
      <c r="E279" s="106"/>
      <c r="F279" s="106"/>
      <c r="G279" s="106"/>
      <c r="H279" s="440"/>
      <c r="I279" s="452"/>
      <c r="K279" s="358"/>
      <c r="L279" s="358"/>
      <c r="M279" s="358"/>
      <c r="N279" s="362"/>
    </row>
    <row r="280" spans="2:14" s="355" customFormat="1" ht="45" customHeight="1">
      <c r="B280" s="2"/>
      <c r="C280" s="42" t="s">
        <v>215</v>
      </c>
      <c r="D280" s="106"/>
      <c r="E280" s="106"/>
      <c r="F280" s="106"/>
      <c r="G280" s="106"/>
      <c r="H280" s="459"/>
      <c r="I280" s="453"/>
      <c r="K280" s="358"/>
      <c r="L280" s="358"/>
      <c r="M280" s="358"/>
      <c r="N280" s="362"/>
    </row>
    <row r="281" spans="2:14" s="355" customFormat="1" ht="17.850000000000001" customHeight="1">
      <c r="B281" s="2"/>
      <c r="C281" s="53" t="s">
        <v>81</v>
      </c>
      <c r="D281" s="204"/>
      <c r="E281" s="281"/>
      <c r="F281" s="281"/>
      <c r="G281" s="281"/>
      <c r="H281" s="205"/>
      <c r="I281" s="373" t="str">
        <f>IF(OR(D279="",D279=0,D280=""),"",D280/D279)</f>
        <v/>
      </c>
      <c r="K281" s="359" t="str">
        <f>IF(I281="","",IF(I281&lt;70%,"Red",IF(AND(I281&gt;=70%,I281&lt;90%),"Yellow",IF(I281&gt;=90%,"Green"))))</f>
        <v/>
      </c>
      <c r="L281" s="374" t="str">
        <f>IF(K281="Red",1,IF(K281="Yellow",2,IF(K281="Green",3,"")))</f>
        <v/>
      </c>
      <c r="M281" s="364"/>
      <c r="N281" s="362"/>
    </row>
    <row r="282" spans="2:14" s="355" customFormat="1" ht="15.75">
      <c r="B282" s="2"/>
      <c r="C282" s="52" t="s">
        <v>82</v>
      </c>
      <c r="D282" s="206"/>
      <c r="E282" s="72"/>
      <c r="F282" s="72"/>
      <c r="G282" s="72"/>
      <c r="H282" s="72"/>
      <c r="I282" s="373" t="str">
        <f>IF(OR(E279="",E279=0,E280=""),"",E280/E279)</f>
        <v/>
      </c>
      <c r="K282" s="359" t="str">
        <f>IF(I282="","",IF(I282&lt;70%,"Red",IF(AND(I282&gt;=70%,I282&lt;90%),"Yellow",IF(I282&gt;=90%,"Green"))))</f>
        <v/>
      </c>
      <c r="L282" s="374" t="str">
        <f>IF(K282="Red",1,IF(K282="Yellow",2,IF(K282="Green",3,"")))</f>
        <v/>
      </c>
      <c r="M282" s="364"/>
      <c r="N282" s="362"/>
    </row>
    <row r="283" spans="2:14" s="355" customFormat="1" ht="15.75">
      <c r="B283" s="2"/>
      <c r="C283" s="53" t="s">
        <v>83</v>
      </c>
      <c r="D283" s="208"/>
      <c r="E283" s="73"/>
      <c r="F283" s="73"/>
      <c r="G283" s="73"/>
      <c r="H283" s="73"/>
      <c r="I283" s="373" t="str">
        <f>IF(OR(F279="",F279=0,F280=""),"",F280/F279)</f>
        <v/>
      </c>
      <c r="K283" s="359" t="str">
        <f t="shared" ref="K283:K284" si="73">IF(I283="","",IF(I283&lt;70%,"Red",IF(AND(I283&gt;=70%,I283&lt;90%),"Yellow",IF(I283&gt;=90%,"Green"))))</f>
        <v/>
      </c>
      <c r="L283" s="374" t="str">
        <f t="shared" ref="L283:L284" si="74">IF(K283="Red",1,IF(K283="Yellow",2,IF(K283="Green",3,"")))</f>
        <v/>
      </c>
      <c r="M283" s="364"/>
      <c r="N283" s="362"/>
    </row>
    <row r="284" spans="2:14" s="355" customFormat="1" ht="16.5" thickBot="1">
      <c r="B284" s="2"/>
      <c r="C284" s="54" t="s">
        <v>84</v>
      </c>
      <c r="D284" s="210"/>
      <c r="E284" s="19"/>
      <c r="F284" s="19"/>
      <c r="G284" s="19"/>
      <c r="H284" s="19"/>
      <c r="I284" s="373" t="str">
        <f>IF(OR(G279="",G279=0,G280=""),"",G280/G279)</f>
        <v/>
      </c>
      <c r="K284" s="359" t="str">
        <f t="shared" si="73"/>
        <v/>
      </c>
      <c r="L284" s="374" t="str">
        <f t="shared" si="74"/>
        <v/>
      </c>
      <c r="M284" s="364"/>
      <c r="N284" s="362"/>
    </row>
    <row r="285" spans="2:14" s="355" customFormat="1" ht="40.5" customHeight="1" thickBot="1">
      <c r="B285" s="3"/>
      <c r="C285" s="277" t="s">
        <v>216</v>
      </c>
      <c r="D285" s="436"/>
      <c r="E285" s="437"/>
      <c r="F285" s="437"/>
      <c r="G285" s="437"/>
      <c r="H285" s="438"/>
      <c r="I285" s="225" t="str">
        <f>IF(I272="NA","Not Applicable",IF(L285="","",IF(L285&lt;14,"Needs Urgent Remediation",IF(AND(L285&gt;=14,L285&lt;20),"Needs Improvement",IF(L285&gt;=20,"Meets Standard")))))</f>
        <v>Needs Urgent Remediation</v>
      </c>
      <c r="K285" s="365"/>
      <c r="L285" s="366">
        <f>IF(COUNTA(L274:L284)=0,"",SUM(L274:L277,L281:L284))</f>
        <v>0</v>
      </c>
      <c r="M285" s="367" t="s">
        <v>95</v>
      </c>
      <c r="N285" s="368">
        <f>IF(I285="Not Applicable",0,IF(I285="Needs Urgent Remediation",1,IF(I285="Needs Improvement",2,IF(I285="Meets Standard",3,""))))</f>
        <v>1</v>
      </c>
    </row>
    <row r="286" spans="2:14" ht="15" thickBot="1">
      <c r="B286" s="23"/>
      <c r="C286" s="263"/>
      <c r="K286" s="353"/>
      <c r="L286" s="353"/>
      <c r="M286" s="353"/>
    </row>
    <row r="287" spans="2:14" s="355" customFormat="1" ht="40.35" customHeight="1">
      <c r="B287" s="28" t="s">
        <v>217</v>
      </c>
      <c r="C287" s="76" t="s">
        <v>218</v>
      </c>
      <c r="D287" s="253"/>
      <c r="E287" s="253"/>
      <c r="F287" s="253"/>
      <c r="G287" s="254"/>
      <c r="H287" s="255"/>
      <c r="I287" s="392"/>
      <c r="K287" s="369"/>
      <c r="L287" s="369"/>
      <c r="M287" s="370"/>
      <c r="N287" s="356"/>
    </row>
    <row r="288" spans="2:14" s="355" customFormat="1" ht="35.1" customHeight="1">
      <c r="B288" s="20"/>
      <c r="C288" s="192" t="s">
        <v>219</v>
      </c>
      <c r="D288" s="256"/>
      <c r="E288" s="544" t="s">
        <v>78</v>
      </c>
      <c r="F288" s="544"/>
      <c r="G288" s="544"/>
      <c r="H288" s="257"/>
      <c r="I288" s="243"/>
      <c r="K288" s="358"/>
      <c r="L288" s="358"/>
      <c r="M288" s="358"/>
      <c r="N288" s="362"/>
    </row>
    <row r="289" spans="2:14" s="355" customFormat="1" ht="29.25">
      <c r="B289" s="21"/>
      <c r="C289" s="192" t="s">
        <v>220</v>
      </c>
      <c r="D289" s="224"/>
      <c r="E289" s="258"/>
      <c r="F289" s="258"/>
      <c r="G289" s="259"/>
      <c r="H289" s="232" t="s">
        <v>221</v>
      </c>
      <c r="I289" s="252" t="s">
        <v>132</v>
      </c>
      <c r="K289" s="358"/>
      <c r="L289" s="358"/>
      <c r="M289" s="358"/>
      <c r="N289" s="362"/>
    </row>
    <row r="290" spans="2:14" s="355" customFormat="1" ht="15.75">
      <c r="B290" s="2"/>
      <c r="C290" s="52" t="s">
        <v>82</v>
      </c>
      <c r="D290" s="212"/>
      <c r="E290" s="212"/>
      <c r="F290" s="212"/>
      <c r="G290" s="260"/>
      <c r="H290" s="212"/>
      <c r="I290" s="231"/>
      <c r="K290" s="359" t="str">
        <f>IF(I290="Yes","Green",IF(I290="No","Red",""))</f>
        <v/>
      </c>
      <c r="L290" s="360" t="str">
        <f t="shared" ref="L290:L292" si="75">IF(K290="Red",1,IF(K290="Yellow",2,IF(K290="Green",3,"")))</f>
        <v/>
      </c>
      <c r="M290" s="358"/>
      <c r="N290" s="362"/>
    </row>
    <row r="291" spans="2:14" s="355" customFormat="1" ht="15.75">
      <c r="B291" s="2"/>
      <c r="C291" s="53" t="s">
        <v>83</v>
      </c>
      <c r="D291" s="213"/>
      <c r="E291" s="213"/>
      <c r="F291" s="213"/>
      <c r="G291" s="261"/>
      <c r="H291" s="213"/>
      <c r="I291" s="231"/>
      <c r="K291" s="359" t="str">
        <f>IF(I291="Yes","Green",IF(I291="No","Red",""))</f>
        <v/>
      </c>
      <c r="L291" s="360" t="str">
        <f t="shared" si="75"/>
        <v/>
      </c>
      <c r="M291" s="358"/>
      <c r="N291" s="362"/>
    </row>
    <row r="292" spans="2:14" s="355" customFormat="1" ht="15.75">
      <c r="B292" s="2"/>
      <c r="C292" s="54" t="s">
        <v>84</v>
      </c>
      <c r="D292" s="214"/>
      <c r="E292" s="214"/>
      <c r="F292" s="214"/>
      <c r="G292" s="262"/>
      <c r="H292" s="214"/>
      <c r="I292" s="231"/>
      <c r="K292" s="359" t="str">
        <f>IF(I292="Yes","Green",IF(I292="No","Red",""))</f>
        <v/>
      </c>
      <c r="L292" s="360" t="str">
        <f t="shared" si="75"/>
        <v/>
      </c>
      <c r="M292" s="358"/>
      <c r="N292" s="362"/>
    </row>
    <row r="293" spans="2:14" s="355" customFormat="1" ht="36.75" customHeight="1">
      <c r="B293" s="22"/>
      <c r="C293" s="193" t="s">
        <v>222</v>
      </c>
      <c r="D293" s="290" t="s">
        <v>86</v>
      </c>
      <c r="E293" s="24" t="s">
        <v>87</v>
      </c>
      <c r="F293" s="24" t="s">
        <v>88</v>
      </c>
      <c r="G293" s="24" t="s">
        <v>89</v>
      </c>
      <c r="H293" s="532" t="s">
        <v>223</v>
      </c>
      <c r="I293" s="529" t="s">
        <v>196</v>
      </c>
      <c r="K293" s="358"/>
      <c r="L293" s="358"/>
      <c r="M293" s="358"/>
      <c r="N293" s="362"/>
    </row>
    <row r="294" spans="2:14" s="355" customFormat="1" ht="14.1" customHeight="1">
      <c r="B294" s="22"/>
      <c r="C294" s="193" t="s">
        <v>224</v>
      </c>
      <c r="D294" s="106"/>
      <c r="E294" s="106"/>
      <c r="F294" s="106"/>
      <c r="G294" s="106"/>
      <c r="H294" s="532"/>
      <c r="I294" s="530"/>
      <c r="K294" s="358"/>
      <c r="L294" s="358"/>
      <c r="M294" s="358"/>
      <c r="N294" s="362"/>
    </row>
    <row r="295" spans="2:14" s="355" customFormat="1" ht="15">
      <c r="B295" s="22"/>
      <c r="C295" s="193" t="s">
        <v>225</v>
      </c>
      <c r="D295" s="106"/>
      <c r="E295" s="106"/>
      <c r="F295" s="106"/>
      <c r="G295" s="106"/>
      <c r="H295" s="532"/>
      <c r="I295" s="530"/>
      <c r="K295" s="358"/>
      <c r="L295" s="358"/>
      <c r="M295" s="358"/>
      <c r="N295" s="362"/>
    </row>
    <row r="296" spans="2:14" s="355" customFormat="1" ht="15">
      <c r="B296" s="22"/>
      <c r="C296" s="193" t="s">
        <v>226</v>
      </c>
      <c r="D296" s="106"/>
      <c r="E296" s="106"/>
      <c r="F296" s="106"/>
      <c r="G296" s="106"/>
      <c r="H296" s="532"/>
      <c r="I296" s="530"/>
      <c r="K296" s="358"/>
      <c r="L296" s="358"/>
      <c r="M296" s="358"/>
      <c r="N296" s="362"/>
    </row>
    <row r="297" spans="2:14" s="355" customFormat="1" ht="15">
      <c r="B297" s="22"/>
      <c r="C297" s="193" t="s">
        <v>227</v>
      </c>
      <c r="D297" s="106"/>
      <c r="E297" s="106"/>
      <c r="F297" s="106"/>
      <c r="G297" s="106"/>
      <c r="H297" s="532"/>
      <c r="I297" s="530"/>
      <c r="K297" s="358"/>
      <c r="L297" s="358"/>
      <c r="M297" s="358"/>
      <c r="N297" s="362"/>
    </row>
    <row r="298" spans="2:14" s="355" customFormat="1" ht="15">
      <c r="B298" s="22"/>
      <c r="C298" s="193" t="s">
        <v>228</v>
      </c>
      <c r="D298" s="106"/>
      <c r="E298" s="106"/>
      <c r="F298" s="106"/>
      <c r="G298" s="106"/>
      <c r="H298" s="532"/>
      <c r="I298" s="530"/>
      <c r="K298" s="358"/>
      <c r="L298" s="358"/>
      <c r="M298" s="358"/>
      <c r="N298" s="362"/>
    </row>
    <row r="299" spans="2:14" s="355" customFormat="1" ht="28.5">
      <c r="B299" s="22"/>
      <c r="C299" s="193" t="s">
        <v>229</v>
      </c>
      <c r="D299" s="106"/>
      <c r="E299" s="106"/>
      <c r="F299" s="106"/>
      <c r="G299" s="106"/>
      <c r="H299" s="532"/>
      <c r="I299" s="530"/>
      <c r="K299" s="358"/>
      <c r="L299" s="358"/>
      <c r="M299" s="358"/>
      <c r="N299" s="362"/>
    </row>
    <row r="300" spans="2:14" s="355" customFormat="1" ht="14.1" customHeight="1">
      <c r="B300" s="22"/>
      <c r="C300" s="193" t="s">
        <v>230</v>
      </c>
      <c r="D300" s="106"/>
      <c r="E300" s="106"/>
      <c r="F300" s="106"/>
      <c r="G300" s="106"/>
      <c r="H300" s="532"/>
      <c r="I300" s="530"/>
      <c r="K300" s="358"/>
      <c r="L300" s="358"/>
      <c r="M300" s="358"/>
      <c r="N300" s="362"/>
    </row>
    <row r="301" spans="2:14" s="355" customFormat="1" ht="14.1" customHeight="1">
      <c r="B301" s="22"/>
      <c r="C301" s="193" t="s">
        <v>231</v>
      </c>
      <c r="D301" s="106"/>
      <c r="E301" s="106"/>
      <c r="F301" s="106"/>
      <c r="G301" s="106"/>
      <c r="H301" s="532"/>
      <c r="I301" s="531"/>
      <c r="K301" s="358"/>
      <c r="L301" s="358"/>
      <c r="M301" s="358"/>
      <c r="N301" s="362"/>
    </row>
    <row r="302" spans="2:14" s="355" customFormat="1" ht="17.850000000000001" customHeight="1">
      <c r="B302" s="2"/>
      <c r="C302" s="53" t="s">
        <v>81</v>
      </c>
      <c r="D302" s="213"/>
      <c r="E302" s="421"/>
      <c r="F302" s="421"/>
      <c r="G302" s="421"/>
      <c r="H302" s="246"/>
      <c r="I302" s="393" t="str">
        <f>IF(COUNTA(D294:D301)=0,"",COUNTIF(D294:D301,"Yes"))</f>
        <v/>
      </c>
      <c r="K302" s="359" t="str">
        <f>IF(I302="","",IF(I302&lt;70%,"Red",IF(AND(I302&gt;=70%,I302&lt;90%),"Yellow",IF(I302&gt;=90%,"Green"))))</f>
        <v/>
      </c>
      <c r="L302" s="374" t="str">
        <f>IF(K302="Red",1,IF(K302="Yellow",2,IF(K302="Green",3,"")))</f>
        <v/>
      </c>
      <c r="M302" s="364"/>
      <c r="N302" s="362"/>
    </row>
    <row r="303" spans="2:14" s="355" customFormat="1" ht="15.75">
      <c r="B303" s="2"/>
      <c r="C303" s="60" t="s">
        <v>82</v>
      </c>
      <c r="D303" s="212"/>
      <c r="E303" s="212"/>
      <c r="F303" s="212"/>
      <c r="G303" s="212"/>
      <c r="H303" s="212"/>
      <c r="I303" s="393" t="str">
        <f>IF(COUNTA(E294:E301)=0,"",COUNTIF(E294:E301,"Yes"))</f>
        <v/>
      </c>
      <c r="K303" s="359" t="str">
        <f>IF(I303="","",IF(I303&lt;3,"Red",IF(AND(I303&gt;2,I303&lt;6),"Yellow",IF(I303&gt;=6,"Green"))))</f>
        <v/>
      </c>
      <c r="L303" s="374" t="str">
        <f t="shared" ref="L303:L305" si="76">IF(K303="Red",1,IF(K303="Yellow",2,IF(K303="Green",3,"")))</f>
        <v/>
      </c>
      <c r="M303" s="358"/>
      <c r="N303" s="362"/>
    </row>
    <row r="304" spans="2:14" s="355" customFormat="1" ht="15.75">
      <c r="B304" s="2"/>
      <c r="C304" s="53" t="s">
        <v>83</v>
      </c>
      <c r="D304" s="213"/>
      <c r="E304" s="213"/>
      <c r="F304" s="213"/>
      <c r="G304" s="213"/>
      <c r="H304" s="213"/>
      <c r="I304" s="393" t="str">
        <f>IF(COUNTA(F294:F301)=0,"",COUNTIF(F294:F301,"Yes"))</f>
        <v/>
      </c>
      <c r="K304" s="359" t="str">
        <f t="shared" ref="K304:K305" si="77">IF(I304="","",IF(I304&lt;3,"Red",IF(AND(I304&gt;2,I304&lt;6),"Yellow",IF(I304&gt;=6,"Green"))))</f>
        <v/>
      </c>
      <c r="L304" s="374" t="str">
        <f t="shared" si="76"/>
        <v/>
      </c>
      <c r="M304" s="358"/>
      <c r="N304" s="362"/>
    </row>
    <row r="305" spans="2:14" s="355" customFormat="1" ht="16.5" thickBot="1">
      <c r="B305" s="2"/>
      <c r="C305" s="61" t="s">
        <v>84</v>
      </c>
      <c r="D305" s="214"/>
      <c r="E305" s="214"/>
      <c r="F305" s="214"/>
      <c r="G305" s="214"/>
      <c r="H305" s="214"/>
      <c r="I305" s="393" t="str">
        <f>IF(COUNTA(G294:G301)=0,"",COUNTIF(G294:G301,"Yes"))</f>
        <v/>
      </c>
      <c r="K305" s="359" t="str">
        <f t="shared" si="77"/>
        <v/>
      </c>
      <c r="L305" s="374" t="str">
        <f t="shared" si="76"/>
        <v/>
      </c>
      <c r="M305" s="358"/>
      <c r="N305" s="362"/>
    </row>
    <row r="306" spans="2:14" s="355" customFormat="1" ht="30.75" thickBot="1">
      <c r="B306" s="3"/>
      <c r="C306" s="277" t="s">
        <v>232</v>
      </c>
      <c r="D306" s="492"/>
      <c r="E306" s="493"/>
      <c r="F306" s="493"/>
      <c r="G306" s="493"/>
      <c r="H306" s="494"/>
      <c r="I306" s="67" t="str">
        <f>IF(I288="NA","Not Applicable",IF(L306="","",IF(L306&lt;12,"Needs Urgent Remediation",IF(AND(L306&gt;=12,L306&lt;17),"Needs Improvement",IF(L306&gt;=17,"Meets Standard")))))</f>
        <v>Needs Urgent Remediation</v>
      </c>
      <c r="K306" s="365"/>
      <c r="L306" s="366">
        <f>IF(COUNTA(L290:L305)=0,"",SUM(L290:L292,L302:L305))</f>
        <v>0</v>
      </c>
      <c r="M306" s="394" t="s">
        <v>233</v>
      </c>
      <c r="N306" s="368">
        <f>IF(I306="Not Applicable",0,IF(I306="Needs Urgent Remediation",1,IF(I306="Needs Improvement",2,IF(I306="Meets Standard",3,""))))</f>
        <v>1</v>
      </c>
    </row>
    <row r="307" spans="2:14" ht="15" thickBot="1">
      <c r="B307" s="23"/>
      <c r="C307" s="263"/>
      <c r="K307" s="353"/>
      <c r="L307" s="353"/>
      <c r="M307" s="353"/>
    </row>
    <row r="308" spans="2:14" s="355" customFormat="1" ht="40.35" customHeight="1">
      <c r="B308" s="28" t="s">
        <v>234</v>
      </c>
      <c r="C308" s="76" t="s">
        <v>235</v>
      </c>
      <c r="D308" s="77"/>
      <c r="E308" s="77"/>
      <c r="F308" s="77"/>
      <c r="G308" s="172"/>
      <c r="H308" s="173"/>
      <c r="I308" s="392"/>
      <c r="K308" s="369"/>
      <c r="L308" s="369"/>
      <c r="M308" s="369"/>
      <c r="N308" s="356"/>
    </row>
    <row r="309" spans="2:14" s="355" customFormat="1" ht="27.75" customHeight="1">
      <c r="B309" s="20"/>
      <c r="C309" s="48" t="s">
        <v>219</v>
      </c>
      <c r="D309" s="430" t="s">
        <v>78</v>
      </c>
      <c r="E309" s="431"/>
      <c r="F309" s="431"/>
      <c r="G309" s="432"/>
      <c r="H309" s="66"/>
      <c r="I309" s="103"/>
      <c r="K309" s="358"/>
      <c r="L309" s="358"/>
      <c r="M309" s="358"/>
      <c r="N309" s="362"/>
    </row>
    <row r="310" spans="2:14" s="355" customFormat="1" ht="37.5" customHeight="1">
      <c r="B310" s="21"/>
      <c r="C310" s="46" t="s">
        <v>236</v>
      </c>
      <c r="D310" s="495"/>
      <c r="E310" s="496"/>
      <c r="F310" s="496"/>
      <c r="G310" s="497"/>
      <c r="H310" s="63" t="s">
        <v>49</v>
      </c>
      <c r="I310" s="223"/>
      <c r="K310" s="359" t="str">
        <f>IF(I310="Yes","Green",IF(I310="No","Red",""))</f>
        <v/>
      </c>
      <c r="L310" s="360" t="str">
        <f t="shared" ref="L310:L316" si="78">IF(K310="Red",1,IF(K310="Yellow",2,IF(K310="Green",3,"")))</f>
        <v/>
      </c>
      <c r="M310" s="358"/>
      <c r="N310" s="362"/>
    </row>
    <row r="311" spans="2:14" s="355" customFormat="1" ht="41.1" customHeight="1">
      <c r="B311" s="21"/>
      <c r="C311" s="507" t="s">
        <v>237</v>
      </c>
      <c r="D311" s="498"/>
      <c r="E311" s="499"/>
      <c r="F311" s="499"/>
      <c r="G311" s="500"/>
      <c r="H311" s="439" t="s">
        <v>92</v>
      </c>
      <c r="I311" s="6" t="s">
        <v>90</v>
      </c>
      <c r="K311" s="359"/>
      <c r="L311" s="360"/>
      <c r="M311" s="358"/>
      <c r="N311" s="362"/>
    </row>
    <row r="312" spans="2:14" s="355" customFormat="1" ht="18.75" customHeight="1">
      <c r="B312" s="21"/>
      <c r="C312" s="508"/>
      <c r="D312" s="501"/>
      <c r="E312" s="502"/>
      <c r="F312" s="502"/>
      <c r="G312" s="503"/>
      <c r="H312" s="440"/>
      <c r="I312" s="395" t="str">
        <f>IF(OR(G313="",G313=0,G314=""),"",G314/G313)</f>
        <v/>
      </c>
      <c r="K312" s="359" t="str">
        <f>IF(I312="","",IF(I312&lt;70%,"Red",IF(AND(I312&gt;=70%,I312&lt;90%),"Yellow",IF(I312&gt;=90%,"Green"))))</f>
        <v/>
      </c>
      <c r="L312" s="360" t="str">
        <f t="shared" ref="L312" si="79">IF(K312="Red",1,IF(K312="Yellow",2,IF(K312="Green",3,"")))</f>
        <v/>
      </c>
      <c r="M312" s="358"/>
      <c r="N312" s="362"/>
    </row>
    <row r="313" spans="2:14" s="355" customFormat="1" ht="27.75" customHeight="1">
      <c r="B313" s="2"/>
      <c r="C313" s="42" t="s">
        <v>238</v>
      </c>
      <c r="D313" s="469"/>
      <c r="E313" s="470"/>
      <c r="F313" s="471"/>
      <c r="G313" s="107"/>
      <c r="H313" s="440"/>
      <c r="I313" s="396"/>
      <c r="K313" s="358"/>
      <c r="L313" s="358"/>
      <c r="M313" s="358"/>
      <c r="N313" s="362"/>
    </row>
    <row r="314" spans="2:14" s="355" customFormat="1" ht="26.1" customHeight="1">
      <c r="B314" s="2"/>
      <c r="C314" s="42" t="s">
        <v>239</v>
      </c>
      <c r="D314" s="469"/>
      <c r="E314" s="470"/>
      <c r="F314" s="471"/>
      <c r="G314" s="107"/>
      <c r="H314" s="459"/>
      <c r="I314" s="396"/>
      <c r="K314" s="358"/>
      <c r="L314" s="358"/>
      <c r="M314" s="358"/>
      <c r="N314" s="362"/>
    </row>
    <row r="315" spans="2:14" s="355" customFormat="1" ht="36" customHeight="1">
      <c r="B315" s="2"/>
      <c r="C315" s="509" t="s">
        <v>240</v>
      </c>
      <c r="D315" s="538"/>
      <c r="E315" s="539"/>
      <c r="F315" s="539"/>
      <c r="G315" s="540"/>
      <c r="H315" s="439" t="s">
        <v>92</v>
      </c>
      <c r="I315" s="6" t="s">
        <v>90</v>
      </c>
      <c r="K315" s="358"/>
      <c r="L315" s="358"/>
      <c r="M315" s="358"/>
      <c r="N315" s="362"/>
    </row>
    <row r="316" spans="2:14" s="355" customFormat="1" ht="21.75" customHeight="1">
      <c r="B316" s="22"/>
      <c r="C316" s="505"/>
      <c r="D316" s="541"/>
      <c r="E316" s="542"/>
      <c r="F316" s="542"/>
      <c r="G316" s="543"/>
      <c r="H316" s="440"/>
      <c r="I316" s="373" t="str">
        <f>IF(OR(G317="",G317=0,G318=""),"",G318/G317)</f>
        <v/>
      </c>
      <c r="K316" s="359" t="str">
        <f>IF(I316="","",IF(I316&lt;70%,"Red",IF(AND(I316&gt;=70%,I316&lt;90%),"Yellow",IF(I316&gt;=90%,"Green"))))</f>
        <v/>
      </c>
      <c r="L316" s="374" t="str">
        <f t="shared" si="78"/>
        <v/>
      </c>
      <c r="M316" s="362"/>
      <c r="N316" s="362"/>
    </row>
    <row r="317" spans="2:14" s="355" customFormat="1" ht="27.75" customHeight="1">
      <c r="B317" s="2"/>
      <c r="C317" s="42" t="s">
        <v>241</v>
      </c>
      <c r="D317" s="512"/>
      <c r="E317" s="513"/>
      <c r="F317" s="514"/>
      <c r="G317" s="107"/>
      <c r="H317" s="440"/>
      <c r="I317" s="397"/>
      <c r="K317" s="358"/>
      <c r="L317" s="358"/>
      <c r="M317" s="358"/>
      <c r="N317" s="362"/>
    </row>
    <row r="318" spans="2:14" s="355" customFormat="1" ht="28.5" customHeight="1" thickBot="1">
      <c r="B318" s="2"/>
      <c r="C318" s="300" t="s">
        <v>242</v>
      </c>
      <c r="D318" s="301"/>
      <c r="E318" s="301"/>
      <c r="F318" s="301"/>
      <c r="G318" s="108"/>
      <c r="H318" s="459"/>
      <c r="I318" s="398"/>
      <c r="K318" s="358"/>
      <c r="L318" s="358"/>
      <c r="M318" s="399"/>
      <c r="N318" s="362"/>
    </row>
    <row r="319" spans="2:14" s="355" customFormat="1" ht="39.6" customHeight="1" thickBot="1">
      <c r="B319" s="3"/>
      <c r="C319" s="277" t="s">
        <v>243</v>
      </c>
      <c r="D319" s="436"/>
      <c r="E319" s="437"/>
      <c r="F319" s="437"/>
      <c r="G319" s="437"/>
      <c r="H319" s="438"/>
      <c r="I319" s="67" t="str">
        <f>IF(I309="NA","Not Applicable",IF(L319="","",IF(L319&lt;5,"Needs Urgent Remediation",IF(AND(L319&gt;=5,L319&lt;8),"Needs Improvement",IF(L319&gt;=8,"Meets Standard")))))</f>
        <v>Needs Urgent Remediation</v>
      </c>
      <c r="K319" s="365"/>
      <c r="L319" s="366">
        <f>IF(COUNTA(L310:L318)=0,"",SUM(L310,L312,L316))</f>
        <v>0</v>
      </c>
      <c r="M319" s="400" t="s">
        <v>244</v>
      </c>
      <c r="N319" s="368">
        <f>IF(I319="Not Applicable",0,IF(I319="Needs Urgent Remediation",1,IF(I319="Needs Improvement",2,IF(I319="Meets Standard",3,""))))</f>
        <v>1</v>
      </c>
    </row>
    <row r="320" spans="2:14" ht="15" thickBot="1">
      <c r="B320" s="23"/>
      <c r="C320" s="263"/>
      <c r="K320" s="353"/>
      <c r="L320" s="353"/>
      <c r="M320" s="353"/>
    </row>
    <row r="321" spans="2:14" s="355" customFormat="1" ht="62.25" customHeight="1">
      <c r="B321" s="27" t="s">
        <v>245</v>
      </c>
      <c r="C321" s="302" t="s">
        <v>246</v>
      </c>
      <c r="D321" s="303"/>
      <c r="E321" s="303"/>
      <c r="F321" s="303"/>
      <c r="G321" s="304"/>
      <c r="H321" s="174"/>
      <c r="I321" s="401"/>
      <c r="K321" s="369"/>
      <c r="L321" s="369"/>
      <c r="M321" s="369"/>
      <c r="N321" s="356"/>
    </row>
    <row r="322" spans="2:14" s="355" customFormat="1" ht="42.75">
      <c r="B322" s="2"/>
      <c r="C322" s="46" t="s">
        <v>247</v>
      </c>
      <c r="D322" s="515"/>
      <c r="E322" s="516"/>
      <c r="F322" s="516"/>
      <c r="G322" s="517"/>
      <c r="H322" s="63" t="s">
        <v>49</v>
      </c>
      <c r="I322" s="6" t="s">
        <v>132</v>
      </c>
      <c r="K322" s="359"/>
      <c r="L322" s="360" t="str">
        <f t="shared" ref="L322:L326" si="80">IF(K322="Red",1,IF(K322="Yellow",2,IF(K322="Green",3,"")))</f>
        <v/>
      </c>
      <c r="M322" s="358"/>
      <c r="N322" s="362"/>
    </row>
    <row r="323" spans="2:14" s="355" customFormat="1" ht="17.850000000000001" customHeight="1">
      <c r="B323" s="2"/>
      <c r="C323" s="53" t="s">
        <v>100</v>
      </c>
      <c r="D323" s="204"/>
      <c r="E323" s="281"/>
      <c r="F323" s="281"/>
      <c r="G323" s="291"/>
      <c r="H323" s="198"/>
      <c r="I323" s="1"/>
      <c r="K323" s="359" t="str">
        <f>IF(I323="Yes","Green",IF(I323="No","Red",""))</f>
        <v/>
      </c>
      <c r="L323" s="360" t="str">
        <f t="shared" ref="L323" si="81">IF(K323="Red",1,IF(K323="Yellow",2,IF(K323="Green",3,"")))</f>
        <v/>
      </c>
      <c r="M323" s="364"/>
      <c r="N323" s="362"/>
    </row>
    <row r="324" spans="2:14" s="355" customFormat="1" ht="15.75">
      <c r="B324" s="2"/>
      <c r="C324" s="60" t="s">
        <v>82</v>
      </c>
      <c r="D324" s="206"/>
      <c r="E324" s="72"/>
      <c r="F324" s="72"/>
      <c r="G324" s="207"/>
      <c r="H324" s="198"/>
      <c r="I324" s="1"/>
      <c r="K324" s="359" t="str">
        <f>IF(I324="Yes","Green",IF(I324="No","Red",""))</f>
        <v/>
      </c>
      <c r="L324" s="360" t="str">
        <f t="shared" si="80"/>
        <v/>
      </c>
      <c r="M324" s="358"/>
      <c r="N324" s="362"/>
    </row>
    <row r="325" spans="2:14" s="355" customFormat="1" ht="15.75">
      <c r="B325" s="2"/>
      <c r="C325" s="53" t="s">
        <v>83</v>
      </c>
      <c r="D325" s="208"/>
      <c r="E325" s="73"/>
      <c r="F325" s="73"/>
      <c r="G325" s="209"/>
      <c r="H325" s="199"/>
      <c r="I325" s="1"/>
      <c r="K325" s="359" t="str">
        <f>IF(I325="Yes","Green",IF(I325="No","Red",""))</f>
        <v/>
      </c>
      <c r="L325" s="360" t="str">
        <f t="shared" si="80"/>
        <v/>
      </c>
      <c r="M325" s="358"/>
      <c r="N325" s="362"/>
    </row>
    <row r="326" spans="2:14" s="355" customFormat="1" ht="15.75">
      <c r="B326" s="2"/>
      <c r="C326" s="61" t="s">
        <v>84</v>
      </c>
      <c r="D326" s="210"/>
      <c r="E326" s="19"/>
      <c r="F326" s="19"/>
      <c r="G326" s="211"/>
      <c r="H326" s="200"/>
      <c r="I326" s="1"/>
      <c r="K326" s="359" t="str">
        <f>IF(I326="Yes","Green",IF(I326="No","Red",""))</f>
        <v/>
      </c>
      <c r="L326" s="360" t="str">
        <f t="shared" si="80"/>
        <v/>
      </c>
      <c r="M326" s="358"/>
      <c r="N326" s="362"/>
    </row>
    <row r="327" spans="2:14" s="355" customFormat="1" ht="57">
      <c r="B327" s="2"/>
      <c r="C327" s="49" t="s">
        <v>248</v>
      </c>
      <c r="D327" s="299" t="s">
        <v>86</v>
      </c>
      <c r="E327" s="202" t="s">
        <v>87</v>
      </c>
      <c r="F327" s="202" t="s">
        <v>88</v>
      </c>
      <c r="G327" s="202" t="s">
        <v>89</v>
      </c>
      <c r="H327" s="439" t="s">
        <v>92</v>
      </c>
      <c r="I327" s="457" t="s">
        <v>90</v>
      </c>
      <c r="K327" s="358"/>
      <c r="L327" s="358"/>
      <c r="M327" s="358"/>
      <c r="N327" s="362"/>
    </row>
    <row r="328" spans="2:14" s="355" customFormat="1" ht="27.75" customHeight="1">
      <c r="B328" s="2"/>
      <c r="C328" s="42" t="s">
        <v>249</v>
      </c>
      <c r="D328" s="106"/>
      <c r="E328" s="106"/>
      <c r="F328" s="106"/>
      <c r="G328" s="106"/>
      <c r="H328" s="440"/>
      <c r="I328" s="452"/>
      <c r="K328" s="358"/>
      <c r="L328" s="358"/>
      <c r="M328" s="358"/>
      <c r="N328" s="362"/>
    </row>
    <row r="329" spans="2:14" s="355" customFormat="1" ht="28.5">
      <c r="B329" s="2"/>
      <c r="C329" s="42" t="s">
        <v>250</v>
      </c>
      <c r="D329" s="106"/>
      <c r="E329" s="106"/>
      <c r="F329" s="106"/>
      <c r="G329" s="106"/>
      <c r="H329" s="459"/>
      <c r="I329" s="453"/>
      <c r="K329" s="358"/>
      <c r="L329" s="358"/>
      <c r="M329" s="358"/>
      <c r="N329" s="362"/>
    </row>
    <row r="330" spans="2:14" s="355" customFormat="1" ht="17.850000000000001" customHeight="1">
      <c r="B330" s="2"/>
      <c r="C330" s="53" t="s">
        <v>81</v>
      </c>
      <c r="D330" s="204"/>
      <c r="E330" s="281"/>
      <c r="F330" s="281"/>
      <c r="G330" s="281"/>
      <c r="H330" s="205"/>
      <c r="I330" s="373" t="str">
        <f>IF(OR(D328="",D328=0,D329=""),"",D329/D328)</f>
        <v/>
      </c>
      <c r="K330" s="359" t="str">
        <f>IF(I330="","",IF(I330&lt;70%,"Red",IF(AND(I330&gt;=70%,I330&lt;90%),"Yellow",IF(I330&gt;=90%,"Green"))))</f>
        <v/>
      </c>
      <c r="L330" s="374" t="str">
        <f>IF(K330="Red",1,IF(K330="Yellow",2,IF(K330="Green",3,"")))</f>
        <v/>
      </c>
      <c r="M330" s="364"/>
      <c r="N330" s="362"/>
    </row>
    <row r="331" spans="2:14" s="355" customFormat="1" ht="15.75">
      <c r="B331" s="2"/>
      <c r="C331" s="52" t="s">
        <v>82</v>
      </c>
      <c r="D331" s="206"/>
      <c r="E331" s="72"/>
      <c r="F331" s="72"/>
      <c r="G331" s="72"/>
      <c r="H331" s="72"/>
      <c r="I331" s="373" t="str">
        <f>IF(OR(E328="",E328=0,E329=""),"",E329/E328)</f>
        <v/>
      </c>
      <c r="K331" s="359" t="str">
        <f>IF(I331="","",IF(I331&lt;70%,"Red",IF(AND(I331&gt;=70%,I331&lt;90%),"Yellow",IF(I331&gt;=90%,"Green"))))</f>
        <v/>
      </c>
      <c r="L331" s="374" t="str">
        <f>IF(K331="Red",1,IF(K331="Yellow",2,IF(K331="Green",3,"")))</f>
        <v/>
      </c>
      <c r="M331" s="364"/>
      <c r="N331" s="362"/>
    </row>
    <row r="332" spans="2:14" s="355" customFormat="1" ht="15.75">
      <c r="B332" s="2"/>
      <c r="C332" s="53" t="s">
        <v>83</v>
      </c>
      <c r="D332" s="208"/>
      <c r="E332" s="73"/>
      <c r="F332" s="73"/>
      <c r="G332" s="73"/>
      <c r="H332" s="73"/>
      <c r="I332" s="373" t="str">
        <f>IF(OR(F328="",F328=0,F329=""),"",F329/F328)</f>
        <v/>
      </c>
      <c r="K332" s="359" t="str">
        <f t="shared" ref="K332:K333" si="82">IF(I332="","",IF(I332&lt;70%,"Red",IF(AND(I332&gt;=70%,I332&lt;90%),"Yellow",IF(I332&gt;=90%,"Green"))))</f>
        <v/>
      </c>
      <c r="L332" s="374" t="str">
        <f t="shared" ref="L332:L333" si="83">IF(K332="Red",1,IF(K332="Yellow",2,IF(K332="Green",3,"")))</f>
        <v/>
      </c>
      <c r="M332" s="364"/>
      <c r="N332" s="362"/>
    </row>
    <row r="333" spans="2:14" s="355" customFormat="1" ht="16.5" thickBot="1">
      <c r="B333" s="2"/>
      <c r="C333" s="54" t="s">
        <v>84</v>
      </c>
      <c r="D333" s="210"/>
      <c r="E333" s="19"/>
      <c r="F333" s="19"/>
      <c r="G333" s="19"/>
      <c r="H333" s="19"/>
      <c r="I333" s="373" t="str">
        <f>IF(OR(G328="",G328=0,G329=""),"",G329/G328)</f>
        <v/>
      </c>
      <c r="K333" s="359" t="str">
        <f t="shared" si="82"/>
        <v/>
      </c>
      <c r="L333" s="374" t="str">
        <f t="shared" si="83"/>
        <v/>
      </c>
      <c r="M333" s="364"/>
      <c r="N333" s="362"/>
    </row>
    <row r="334" spans="2:14" ht="44.1" customHeight="1" thickBot="1">
      <c r="B334" s="3"/>
      <c r="C334" s="275" t="s">
        <v>251</v>
      </c>
      <c r="D334" s="436"/>
      <c r="E334" s="437"/>
      <c r="F334" s="437"/>
      <c r="G334" s="437"/>
      <c r="H334" s="438"/>
      <c r="I334" s="225" t="str">
        <f>IF(I321="NA","Not Applicable",IF(L334="","",IF(L334&lt;14,"Needs Urgent Remediation",IF(AND(L334&gt;=14,L334&lt;20),"Needs Improvement",IF(L334&gt;=20,"Meets Standard")))))</f>
        <v>Needs Urgent Remediation</v>
      </c>
      <c r="K334" s="390"/>
      <c r="L334" s="366">
        <f>IF(COUNTA(L323:L333)=0,"",SUM(L323:L326,L330:L333))</f>
        <v>0</v>
      </c>
      <c r="M334" s="367" t="s">
        <v>95</v>
      </c>
      <c r="N334" s="368">
        <f>IF(I334="Not Applicable",0,IF(I334="Needs Urgent Remediation",1,IF(I334="Needs Improvement",2,IF(I334="Meets Standard",3,""))))</f>
        <v>1</v>
      </c>
    </row>
    <row r="335" spans="2:14" ht="15" thickBot="1">
      <c r="B335" s="23"/>
      <c r="C335" s="263"/>
      <c r="K335" s="353"/>
      <c r="L335" s="353"/>
      <c r="M335" s="353"/>
    </row>
    <row r="336" spans="2:14" s="355" customFormat="1" ht="33" customHeight="1" thickBot="1">
      <c r="B336" s="36" t="s">
        <v>252</v>
      </c>
      <c r="C336" s="305" t="s">
        <v>253</v>
      </c>
      <c r="D336" s="306"/>
      <c r="E336" s="306"/>
      <c r="F336" s="306"/>
      <c r="G336" s="307"/>
      <c r="H336" s="247"/>
      <c r="I336" s="354"/>
      <c r="K336" s="369"/>
      <c r="L336" s="369"/>
      <c r="M336" s="369"/>
      <c r="N336" s="356"/>
    </row>
    <row r="337" spans="2:14" s="355" customFormat="1" ht="46.35" customHeight="1">
      <c r="B337" s="124"/>
      <c r="C337" s="248" t="s">
        <v>254</v>
      </c>
      <c r="D337" s="534" t="s">
        <v>78</v>
      </c>
      <c r="E337" s="534"/>
      <c r="F337" s="534"/>
      <c r="G337" s="534"/>
      <c r="H337" s="249"/>
      <c r="I337" s="243"/>
      <c r="K337" s="359"/>
      <c r="L337" s="360" t="str">
        <f t="shared" ref="L337:L338" si="84">IF(K337="Red",1,IF(K337="Yellow",2,IF(K337="Green",3,"")))</f>
        <v/>
      </c>
      <c r="M337" s="358"/>
      <c r="N337" s="362"/>
    </row>
    <row r="338" spans="2:14" s="355" customFormat="1" ht="29.25">
      <c r="B338" s="124"/>
      <c r="C338" s="250" t="s">
        <v>255</v>
      </c>
      <c r="D338" s="535" t="s">
        <v>132</v>
      </c>
      <c r="E338" s="535"/>
      <c r="F338" s="535"/>
      <c r="G338" s="535"/>
      <c r="H338" s="251" t="s">
        <v>49</v>
      </c>
      <c r="I338" s="231"/>
      <c r="K338" s="359" t="str">
        <f>IF(I338="Yes","Green",IF(I338="No","Red",""))</f>
        <v/>
      </c>
      <c r="L338" s="360" t="str">
        <f t="shared" si="84"/>
        <v/>
      </c>
      <c r="M338" s="358"/>
      <c r="N338" s="362"/>
    </row>
    <row r="339" spans="2:14" s="355" customFormat="1" ht="49.35" customHeight="1">
      <c r="B339" s="124"/>
      <c r="C339" s="308" t="s">
        <v>256</v>
      </c>
      <c r="D339" s="7" t="s">
        <v>257</v>
      </c>
      <c r="E339" s="463"/>
      <c r="F339" s="463"/>
      <c r="G339" s="463"/>
      <c r="H339" s="527" t="s">
        <v>92</v>
      </c>
      <c r="I339" s="529" t="s">
        <v>90</v>
      </c>
      <c r="K339" s="358"/>
      <c r="L339" s="358"/>
      <c r="M339" s="358"/>
      <c r="N339" s="362"/>
    </row>
    <row r="340" spans="2:14" s="355" customFormat="1" ht="30" customHeight="1">
      <c r="B340" s="124"/>
      <c r="C340" s="308" t="s">
        <v>258</v>
      </c>
      <c r="D340" s="106"/>
      <c r="E340" s="463"/>
      <c r="F340" s="463"/>
      <c r="G340" s="463"/>
      <c r="H340" s="527"/>
      <c r="I340" s="530"/>
      <c r="K340" s="358"/>
      <c r="L340" s="358"/>
      <c r="M340" s="358"/>
      <c r="N340" s="362"/>
    </row>
    <row r="341" spans="2:14" s="355" customFormat="1" ht="24.75" customHeight="1">
      <c r="B341" s="124"/>
      <c r="C341" s="308" t="s">
        <v>259</v>
      </c>
      <c r="D341" s="309"/>
      <c r="E341" s="464"/>
      <c r="F341" s="464"/>
      <c r="G341" s="464"/>
      <c r="H341" s="528"/>
      <c r="I341" s="531"/>
      <c r="K341" s="358"/>
      <c r="L341" s="358"/>
      <c r="M341" s="358"/>
      <c r="N341" s="362"/>
    </row>
    <row r="342" spans="2:14" s="355" customFormat="1" ht="17.850000000000001" customHeight="1">
      <c r="B342" s="124"/>
      <c r="C342" s="310" t="s">
        <v>260</v>
      </c>
      <c r="D342" s="204"/>
      <c r="E342" s="281"/>
      <c r="F342" s="281"/>
      <c r="G342" s="291"/>
      <c r="H342" s="212"/>
      <c r="I342" s="402" t="str">
        <f>IF(OR(D340="",D340=0,D341=""),"",D341/D340)</f>
        <v/>
      </c>
      <c r="K342" s="359" t="str">
        <f>IF(I342="","",IF(I342&lt;70%,"Red",IF(AND(I342&gt;=70%,I342&lt;90%),"Yellow",IF(I342&gt;=90%,"Green"))))</f>
        <v/>
      </c>
      <c r="L342" s="374" t="str">
        <f>IF(K342="Red",1,IF(K342="Yellow",2,IF(K342="Green",3,"")))</f>
        <v/>
      </c>
      <c r="M342" s="364"/>
      <c r="N342" s="362"/>
    </row>
    <row r="343" spans="2:14" s="355" customFormat="1" ht="57">
      <c r="B343" s="124"/>
      <c r="C343" s="422" t="s">
        <v>261</v>
      </c>
      <c r="D343" s="202" t="s">
        <v>257</v>
      </c>
      <c r="E343" s="518"/>
      <c r="F343" s="518"/>
      <c r="G343" s="518"/>
      <c r="H343" s="536" t="s">
        <v>92</v>
      </c>
      <c r="I343" s="403" t="str">
        <f>IF(OR(F340="",F340=0,F341=""),"",F341/F340)</f>
        <v/>
      </c>
      <c r="K343" s="404" t="str">
        <f t="shared" ref="K343:K345" si="85">IF(I343="","",IF(I343&lt;70%,"Red",IF(AND(I343&gt;=70%,I343&lt;90%),"Yellow",IF(I343&gt;=90%,"Green"))))</f>
        <v/>
      </c>
      <c r="L343" s="405" t="str">
        <f t="shared" ref="L343:L345" si="86">IF(K343="Red",1,IF(K343="Yellow",2,IF(K343="Green",3,"")))</f>
        <v/>
      </c>
      <c r="M343" s="358"/>
      <c r="N343" s="362"/>
    </row>
    <row r="344" spans="2:14" s="355" customFormat="1" ht="29.25">
      <c r="B344" s="124"/>
      <c r="C344" s="423" t="s">
        <v>262</v>
      </c>
      <c r="D344" s="106"/>
      <c r="E344" s="463"/>
      <c r="F344" s="463"/>
      <c r="G344" s="463"/>
      <c r="H344" s="527"/>
      <c r="I344" s="402"/>
      <c r="K344" s="359"/>
      <c r="L344" s="374"/>
      <c r="M344" s="358"/>
      <c r="N344" s="362"/>
    </row>
    <row r="345" spans="2:14" s="355" customFormat="1" ht="30" thickBot="1">
      <c r="B345" s="124"/>
      <c r="C345" s="428" t="s">
        <v>263</v>
      </c>
      <c r="D345" s="311"/>
      <c r="E345" s="519"/>
      <c r="F345" s="519"/>
      <c r="G345" s="519"/>
      <c r="H345" s="537"/>
      <c r="I345" s="406" t="str">
        <f>IF(OR(G340="",G340=0,G341=""),"",G341/G340)</f>
        <v/>
      </c>
      <c r="K345" s="359" t="str">
        <f t="shared" si="85"/>
        <v/>
      </c>
      <c r="L345" s="374" t="str">
        <f t="shared" si="86"/>
        <v/>
      </c>
      <c r="M345" s="358"/>
      <c r="N345" s="362"/>
    </row>
    <row r="346" spans="2:14" s="355" customFormat="1" ht="17.850000000000001" customHeight="1" thickBot="1">
      <c r="B346" s="2"/>
      <c r="C346" s="52" t="s">
        <v>260</v>
      </c>
      <c r="D346" s="208"/>
      <c r="E346" s="312"/>
      <c r="F346" s="312"/>
      <c r="G346" s="313"/>
      <c r="H346" s="244"/>
      <c r="I346" s="373" t="str">
        <f>IF(OR(D344="",D344=0,D345=""),"",D345/D344)</f>
        <v/>
      </c>
      <c r="K346" s="359" t="str">
        <f>IF(I346="","",IF(I346&lt;70%,"Red",IF(AND(I346&gt;=70%,I346&lt;90%),"Yellow",IF(I346&gt;=90%,"Green"))))</f>
        <v/>
      </c>
      <c r="L346" s="374" t="str">
        <f>IF(K346="Red",1,IF(K346="Yellow",2,IF(K346="Green",3,"")))</f>
        <v/>
      </c>
      <c r="M346" s="364"/>
      <c r="N346" s="362"/>
    </row>
    <row r="347" spans="2:14" s="355" customFormat="1" ht="29.25" thickBot="1">
      <c r="B347" s="3"/>
      <c r="C347" s="277" t="s">
        <v>264</v>
      </c>
      <c r="D347" s="436"/>
      <c r="E347" s="437"/>
      <c r="F347" s="437"/>
      <c r="G347" s="437"/>
      <c r="H347" s="438"/>
      <c r="I347" s="67" t="str">
        <f>IF(I337="NA","Not Applicable",IF(L347&lt;5,"Needs Urgent Remediation",IF(AND(L347&gt;=5,L347&lt;7),"Needs Improvement",IF(L347&gt;=7,"Meets Standard"))))</f>
        <v>Needs Urgent Remediation</v>
      </c>
      <c r="K347" s="365"/>
      <c r="L347" s="366">
        <f>IF(COUNTA(K338:K346)=0,"",SUM(L338:L338,L342:L346))</f>
        <v>0</v>
      </c>
      <c r="M347" s="367" t="s">
        <v>265</v>
      </c>
      <c r="N347" s="368">
        <f>IF(I347="Not Applicable",0,IF(I347="Needs Urgent Remediation",1,IF(I347="Needs Improvement",2,IF(I347="Meets Standard",3,""))))</f>
        <v>1</v>
      </c>
    </row>
    <row r="348" spans="2:14" ht="15" thickBot="1">
      <c r="B348" s="23"/>
      <c r="C348" s="263"/>
      <c r="K348" s="407"/>
      <c r="L348" s="407"/>
      <c r="M348" s="407"/>
    </row>
    <row r="349" spans="2:14" s="355" customFormat="1" ht="35.25" customHeight="1">
      <c r="B349" s="36" t="s">
        <v>266</v>
      </c>
      <c r="C349" s="314" t="s">
        <v>267</v>
      </c>
      <c r="D349" s="315"/>
      <c r="E349" s="315"/>
      <c r="F349" s="315"/>
      <c r="G349" s="316"/>
      <c r="H349" s="189"/>
      <c r="I349" s="354"/>
      <c r="K349" s="369"/>
      <c r="L349" s="369"/>
      <c r="M349" s="369"/>
      <c r="N349" s="356"/>
    </row>
    <row r="350" spans="2:14" s="355" customFormat="1" ht="30" customHeight="1">
      <c r="B350" s="2"/>
      <c r="C350" s="192" t="s">
        <v>268</v>
      </c>
      <c r="D350" s="491" t="s">
        <v>78</v>
      </c>
      <c r="E350" s="491"/>
      <c r="F350" s="491"/>
      <c r="G350" s="491"/>
      <c r="H350" s="18"/>
      <c r="I350" s="103"/>
      <c r="K350" s="359"/>
      <c r="L350" s="360" t="str">
        <f t="shared" ref="L350" si="87">IF(K350="Red",1,IF(K350="Yellow",2,IF(K350="Green",3,"")))</f>
        <v/>
      </c>
      <c r="M350" s="358"/>
      <c r="N350" s="362"/>
    </row>
    <row r="351" spans="2:14" s="355" customFormat="1" ht="80.849999999999994" customHeight="1">
      <c r="B351" s="2"/>
      <c r="C351" s="344" t="s">
        <v>269</v>
      </c>
      <c r="D351" s="7" t="s">
        <v>257</v>
      </c>
      <c r="E351" s="463"/>
      <c r="F351" s="463"/>
      <c r="G351" s="463"/>
      <c r="H351" s="450" t="s">
        <v>92</v>
      </c>
      <c r="I351" s="408"/>
      <c r="K351" s="358"/>
      <c r="L351" s="358"/>
      <c r="M351" s="358"/>
      <c r="N351" s="362"/>
    </row>
    <row r="352" spans="2:14" s="355" customFormat="1" ht="42" customHeight="1">
      <c r="B352" s="2"/>
      <c r="C352" s="191" t="s">
        <v>270</v>
      </c>
      <c r="D352" s="106"/>
      <c r="E352" s="463"/>
      <c r="F352" s="463"/>
      <c r="G352" s="463"/>
      <c r="H352" s="458"/>
      <c r="I352" s="373"/>
      <c r="K352" s="359" t="str">
        <f>IF(I352="","",IF(I352&lt;70%,"Red",IF(AND(I352&gt;=70%,I352&lt;90%),"Yellow",IF(I352&gt;=90%,"Green"))))</f>
        <v/>
      </c>
      <c r="L352" s="374" t="str">
        <f t="shared" ref="L352" si="88">IF(K352="Red",1,IF(K352="Yellow",2,IF(K352="Green",3,"")))</f>
        <v/>
      </c>
      <c r="M352" s="358"/>
      <c r="N352" s="362"/>
    </row>
    <row r="353" spans="2:14" s="355" customFormat="1" ht="15.75">
      <c r="B353" s="2"/>
      <c r="C353" s="429" t="s">
        <v>271</v>
      </c>
      <c r="D353" s="106"/>
      <c r="E353" s="463"/>
      <c r="F353" s="463"/>
      <c r="G353" s="463"/>
      <c r="H353" s="451"/>
      <c r="I353" s="373"/>
      <c r="K353" s="359"/>
      <c r="L353" s="374"/>
      <c r="M353" s="358"/>
      <c r="N353" s="362"/>
    </row>
    <row r="354" spans="2:14" s="355" customFormat="1" ht="17.45" customHeight="1" thickBot="1">
      <c r="B354" s="2"/>
      <c r="C354" s="52" t="s">
        <v>260</v>
      </c>
      <c r="D354" s="204"/>
      <c r="E354" s="281"/>
      <c r="F354" s="281"/>
      <c r="G354" s="291"/>
      <c r="H354" s="212"/>
      <c r="I354" s="373" t="str">
        <f>IF(OR(D352="",D352=0,D353=""),"",D353/D352)</f>
        <v/>
      </c>
      <c r="K354" s="359" t="str">
        <f>IF(I354="","",IF(I354&lt;70%,"Red",IF(AND(I354&gt;=70%,I354&lt;90%),"Yellow",IF(I354&gt;=90%,"Green"))))</f>
        <v/>
      </c>
      <c r="L354" s="374" t="str">
        <f>IF(K354="Red",1,IF(K354="Yellow",2,IF(K354="Green",3,"")))</f>
        <v/>
      </c>
      <c r="M354" s="364"/>
      <c r="N354" s="362"/>
    </row>
    <row r="355" spans="2:14" s="355" customFormat="1" ht="30.75" thickBot="1">
      <c r="B355" s="3"/>
      <c r="C355" s="277" t="s">
        <v>272</v>
      </c>
      <c r="D355" s="436"/>
      <c r="E355" s="437"/>
      <c r="F355" s="437"/>
      <c r="G355" s="437"/>
      <c r="H355" s="438"/>
      <c r="I355" s="67" t="str">
        <f>IF(I350="NA","Not Applicable",IF(L355&lt;2,"Needs Urgent Remediation",IF(AND(L355&gt;=2,L355&lt;3),"Needs Improvement",IF(L355&gt;=3,"Meets Standard"))))</f>
        <v>Needs Urgent Remediation</v>
      </c>
      <c r="K355" s="365"/>
      <c r="L355" s="366">
        <f>IF(COUNTA(L352:L354)=0,"",SUM(L354))</f>
        <v>0</v>
      </c>
      <c r="M355" s="367" t="s">
        <v>273</v>
      </c>
      <c r="N355" s="368">
        <f>IF(I355="Not Applicable",0,IF(I355="Needs Urgent Remediation",1,IF(I355="Needs Improvement",2,IF(I355="Meets Standard",3,""))))</f>
        <v>1</v>
      </c>
    </row>
    <row r="356" spans="2:14" ht="15" thickBot="1">
      <c r="B356" s="23"/>
      <c r="C356" s="263"/>
      <c r="K356" s="407"/>
      <c r="L356" s="407"/>
      <c r="M356" s="407"/>
    </row>
    <row r="357" spans="2:14" s="355" customFormat="1" ht="33" customHeight="1">
      <c r="B357" s="36" t="s">
        <v>274</v>
      </c>
      <c r="C357" s="314" t="s">
        <v>275</v>
      </c>
      <c r="D357" s="315"/>
      <c r="E357" s="315"/>
      <c r="F357" s="315"/>
      <c r="G357" s="316"/>
      <c r="H357" s="189"/>
      <c r="I357" s="354"/>
      <c r="K357" s="369"/>
      <c r="L357" s="369"/>
      <c r="M357" s="369"/>
      <c r="N357" s="356"/>
    </row>
    <row r="358" spans="2:14" s="355" customFormat="1" ht="26.25" customHeight="1">
      <c r="B358" s="2"/>
      <c r="C358" s="192" t="s">
        <v>276</v>
      </c>
      <c r="D358" s="491" t="s">
        <v>78</v>
      </c>
      <c r="E358" s="491"/>
      <c r="F358" s="491"/>
      <c r="G358" s="491"/>
      <c r="H358" s="245"/>
      <c r="I358" s="243"/>
      <c r="K358" s="359"/>
      <c r="L358" s="360" t="str">
        <f t="shared" ref="L358:L359" si="89">IF(K358="Red",1,IF(K358="Yellow",2,IF(K358="Green",3,"")))</f>
        <v/>
      </c>
      <c r="M358" s="358"/>
      <c r="N358" s="362"/>
    </row>
    <row r="359" spans="2:14" s="355" customFormat="1" ht="61.35" customHeight="1">
      <c r="B359" s="124"/>
      <c r="C359" s="230" t="s">
        <v>277</v>
      </c>
      <c r="D359" s="212"/>
      <c r="E359" s="490" t="s">
        <v>132</v>
      </c>
      <c r="F359" s="490"/>
      <c r="G359" s="490"/>
      <c r="H359" s="232" t="s">
        <v>49</v>
      </c>
      <c r="I359" s="231"/>
      <c r="K359" s="359" t="str">
        <f>IF(I359="Yes","Green",IF(I359="No","Red",""))</f>
        <v/>
      </c>
      <c r="L359" s="360" t="str">
        <f t="shared" si="89"/>
        <v/>
      </c>
      <c r="M359" s="358"/>
      <c r="N359" s="362"/>
    </row>
    <row r="360" spans="2:14" s="355" customFormat="1" ht="49.35" customHeight="1">
      <c r="B360" s="2"/>
      <c r="C360" s="317" t="s">
        <v>278</v>
      </c>
      <c r="D360" s="7" t="s">
        <v>257</v>
      </c>
      <c r="E360" s="463"/>
      <c r="F360" s="463"/>
      <c r="G360" s="463"/>
      <c r="H360" s="533" t="s">
        <v>92</v>
      </c>
      <c r="I360" s="529" t="s">
        <v>90</v>
      </c>
      <c r="K360" s="358"/>
      <c r="L360" s="358"/>
      <c r="M360" s="358"/>
      <c r="N360" s="362"/>
    </row>
    <row r="361" spans="2:14" s="355" customFormat="1" ht="30" customHeight="1">
      <c r="B361" s="2"/>
      <c r="C361" s="191" t="s">
        <v>279</v>
      </c>
      <c r="D361" s="106"/>
      <c r="E361" s="463"/>
      <c r="F361" s="463"/>
      <c r="G361" s="463"/>
      <c r="H361" s="533"/>
      <c r="I361" s="530"/>
      <c r="K361" s="358"/>
      <c r="L361" s="358"/>
      <c r="M361" s="358"/>
      <c r="N361" s="362"/>
    </row>
    <row r="362" spans="2:14" s="355" customFormat="1" ht="24.75" customHeight="1">
      <c r="B362" s="2"/>
      <c r="C362" s="191" t="s">
        <v>280</v>
      </c>
      <c r="D362" s="106"/>
      <c r="E362" s="463"/>
      <c r="F362" s="463"/>
      <c r="G362" s="463"/>
      <c r="H362" s="533"/>
      <c r="I362" s="531"/>
      <c r="K362" s="358"/>
      <c r="L362" s="358"/>
      <c r="M362" s="358"/>
      <c r="N362" s="362"/>
    </row>
    <row r="363" spans="2:14" s="355" customFormat="1" ht="17.850000000000001" customHeight="1" thickBot="1">
      <c r="B363" s="2"/>
      <c r="C363" s="52" t="s">
        <v>260</v>
      </c>
      <c r="D363" s="204"/>
      <c r="E363" s="281"/>
      <c r="F363" s="281"/>
      <c r="G363" s="291"/>
      <c r="H363" s="212"/>
      <c r="I363" s="373" t="str">
        <f>IF(OR(D361="",D361=0,D362=""),"",D362/D361)</f>
        <v/>
      </c>
      <c r="K363" s="359" t="str">
        <f>IF(I363="","",IF(I363&lt;70%,"Red",IF(AND(I363&gt;=70%,I363&lt;90%),"Yellow",IF(I363&gt;=90%,"Green"))))</f>
        <v/>
      </c>
      <c r="L363" s="374" t="str">
        <f>IF(K363="Red",1,IF(K363="Yellow",2,IF(K363="Green",3,"")))</f>
        <v/>
      </c>
      <c r="M363" s="364"/>
      <c r="N363" s="362"/>
    </row>
    <row r="364" spans="2:14" s="355" customFormat="1" ht="30.75" thickBot="1">
      <c r="B364" s="3"/>
      <c r="C364" s="277" t="s">
        <v>272</v>
      </c>
      <c r="D364" s="436"/>
      <c r="E364" s="437"/>
      <c r="F364" s="437"/>
      <c r="G364" s="437"/>
      <c r="H364" s="438"/>
      <c r="I364" s="67" t="str">
        <f>IF(I358="NA","Not Applicable",IF(L364&lt;4,"Needs Urgent Remediation",IF(AND(L364&gt;=4,L364&lt;5),"Needs Improvement",IF(L364&gt;=5,"Meets Standard"))))</f>
        <v>Needs Urgent Remediation</v>
      </c>
      <c r="K364" s="365"/>
      <c r="L364" s="366">
        <f>IF(COUNTA(K359:K363)=0,"",SUM(L359:L359,L363))</f>
        <v>0</v>
      </c>
      <c r="M364" s="367" t="s">
        <v>281</v>
      </c>
      <c r="N364" s="368">
        <f>IF(I364="Not Applicable",0,IF(I364="Needs Urgent Remediation",1,IF(I364="Needs Improvement",2,IF(I364="Meets Standard",3,""))))</f>
        <v>1</v>
      </c>
    </row>
    <row r="365" spans="2:14" ht="15" thickBot="1">
      <c r="B365" s="23"/>
      <c r="C365" s="263"/>
      <c r="K365" s="407"/>
      <c r="L365" s="407"/>
      <c r="M365" s="407"/>
    </row>
    <row r="366" spans="2:14" ht="50.25" customHeight="1">
      <c r="B366" s="26" t="s">
        <v>282</v>
      </c>
      <c r="C366" s="318" t="s">
        <v>283</v>
      </c>
      <c r="D366" s="319"/>
      <c r="E366" s="319"/>
      <c r="F366" s="319"/>
      <c r="G366" s="320"/>
      <c r="H366" s="175"/>
      <c r="I366" s="409"/>
      <c r="K366" s="410"/>
      <c r="L366" s="370"/>
      <c r="M366" s="411"/>
      <c r="N366" s="411"/>
    </row>
    <row r="367" spans="2:14" ht="29.25">
      <c r="B367" s="5"/>
      <c r="C367" s="322" t="s">
        <v>284</v>
      </c>
      <c r="D367" s="335"/>
      <c r="E367" s="323"/>
      <c r="F367" s="323"/>
      <c r="G367" s="341"/>
      <c r="H367" s="336"/>
      <c r="I367" s="252" t="s">
        <v>285</v>
      </c>
      <c r="K367" s="412"/>
      <c r="L367" s="412"/>
      <c r="M367" s="412"/>
      <c r="N367" s="413"/>
    </row>
    <row r="368" spans="2:14" ht="43.35" customHeight="1">
      <c r="B368" s="5"/>
      <c r="C368" s="325" t="s">
        <v>286</v>
      </c>
      <c r="D368" s="337"/>
      <c r="E368" s="506" t="s">
        <v>287</v>
      </c>
      <c r="F368" s="506"/>
      <c r="G368" s="506"/>
      <c r="H368" s="257"/>
      <c r="I368" s="243"/>
      <c r="K368" s="359"/>
      <c r="L368" s="360"/>
      <c r="M368" s="412"/>
      <c r="N368" s="413"/>
    </row>
    <row r="369" spans="2:14" ht="35.85" customHeight="1">
      <c r="B369" s="5"/>
      <c r="C369" s="510" t="s">
        <v>288</v>
      </c>
      <c r="D369" s="467"/>
      <c r="E369" s="525"/>
      <c r="F369" s="525"/>
      <c r="G369" s="525"/>
      <c r="H369" s="524" t="s">
        <v>289</v>
      </c>
      <c r="I369" s="252" t="s">
        <v>196</v>
      </c>
      <c r="K369" s="359"/>
      <c r="L369" s="360"/>
      <c r="M369" s="412"/>
      <c r="N369" s="413"/>
    </row>
    <row r="370" spans="2:14" ht="34.35" customHeight="1">
      <c r="B370" s="5"/>
      <c r="C370" s="511"/>
      <c r="D370" s="468"/>
      <c r="E370" s="526"/>
      <c r="F370" s="526"/>
      <c r="G370" s="526"/>
      <c r="H370" s="524"/>
      <c r="I370" s="414" t="str">
        <f>IF(COUNTA(I371:I373)=0,"",COUNTIF(I371:I373,"Yes"))</f>
        <v/>
      </c>
      <c r="K370" s="359" t="str">
        <f>IF(I370="","",IF(I370&lt;2,"Red",IF(I370=2,"Yellow",IF(I370=3,"Green"))))</f>
        <v/>
      </c>
      <c r="L370" s="360" t="str">
        <f>IF(K370="Red",1,IF(K370="Yellow",2,IF(K370="Green",3,"")))</f>
        <v/>
      </c>
      <c r="M370" s="412"/>
      <c r="N370" s="413"/>
    </row>
    <row r="371" spans="2:14" ht="15.75">
      <c r="B371" s="5"/>
      <c r="C371" s="328" t="s">
        <v>290</v>
      </c>
      <c r="D371" s="338"/>
      <c r="E371" s="323"/>
      <c r="F371" s="323"/>
      <c r="G371" s="341"/>
      <c r="H371" s="339"/>
      <c r="I371" s="333"/>
      <c r="K371" s="359"/>
      <c r="L371" s="360"/>
      <c r="M371" s="412"/>
      <c r="N371" s="413"/>
    </row>
    <row r="372" spans="2:14" ht="28.5">
      <c r="B372" s="5"/>
      <c r="C372" s="328" t="s">
        <v>291</v>
      </c>
      <c r="D372" s="338"/>
      <c r="E372" s="323"/>
      <c r="F372" s="323"/>
      <c r="G372" s="341"/>
      <c r="H372" s="339"/>
      <c r="I372" s="333"/>
      <c r="K372" s="359"/>
      <c r="L372" s="360"/>
      <c r="M372" s="412"/>
      <c r="N372" s="413"/>
    </row>
    <row r="373" spans="2:14" ht="28.5">
      <c r="B373" s="5"/>
      <c r="C373" s="328" t="s">
        <v>292</v>
      </c>
      <c r="D373" s="338"/>
      <c r="E373" s="323"/>
      <c r="F373" s="323"/>
      <c r="G373" s="341"/>
      <c r="H373" s="339"/>
      <c r="I373" s="333"/>
      <c r="K373" s="359"/>
      <c r="L373" s="360"/>
      <c r="M373" s="412"/>
      <c r="N373" s="413"/>
    </row>
    <row r="374" spans="2:14" s="355" customFormat="1" ht="29.25">
      <c r="B374" s="2"/>
      <c r="C374" s="329" t="s">
        <v>293</v>
      </c>
      <c r="D374" s="340"/>
      <c r="E374" s="330"/>
      <c r="F374" s="330"/>
      <c r="G374" s="342"/>
      <c r="H374" s="232" t="s">
        <v>294</v>
      </c>
      <c r="I374" s="334"/>
      <c r="K374" s="363" t="str">
        <f>IF(I374="Yes","Green",IF(I374="No","Yellow",""))</f>
        <v/>
      </c>
      <c r="L374" s="360" t="str">
        <f>IF(K374="Red",1,IF(K374="Yellow",2,IF(K374="Green",3,"")))</f>
        <v/>
      </c>
      <c r="M374" s="358"/>
      <c r="N374" s="362"/>
    </row>
    <row r="375" spans="2:14" s="355" customFormat="1" ht="30" thickBot="1">
      <c r="B375" s="2"/>
      <c r="C375" s="326" t="s">
        <v>295</v>
      </c>
      <c r="D375" s="335"/>
      <c r="E375" s="331"/>
      <c r="F375" s="331"/>
      <c r="G375" s="343"/>
      <c r="H375" s="232" t="s">
        <v>294</v>
      </c>
      <c r="I375" s="334"/>
      <c r="K375" s="363" t="str">
        <f>IF(I375="Yes","Green",IF(I375="No","Yellow",""))</f>
        <v/>
      </c>
      <c r="L375" s="360" t="str">
        <f>IF(K375="Red",1,IF(K375="Yellow",2,IF(K375="Green",3,"")))</f>
        <v/>
      </c>
      <c r="M375" s="358"/>
      <c r="N375" s="362"/>
    </row>
    <row r="376" spans="2:14" s="355" customFormat="1" ht="30.75" thickBot="1">
      <c r="B376" s="3"/>
      <c r="C376" s="277" t="s">
        <v>296</v>
      </c>
      <c r="D376" s="436"/>
      <c r="E376" s="437"/>
      <c r="F376" s="437"/>
      <c r="G376" s="437"/>
      <c r="H376" s="438"/>
      <c r="I376" s="67" t="str">
        <f>IF(I368="NA","Not Applicable",IF(L376="","",IF(L376&lt;7,"Needs Urgent Remediation",IF(L376=7,"Needs Improvement",IF(L376&gt;=8,"Meets Standard")))))</f>
        <v>Needs Urgent Remediation</v>
      </c>
      <c r="K376" s="365"/>
      <c r="L376" s="366">
        <f>IF(COUNTA(L370:L375)=0,"",SUM(L370,L374,L375))</f>
        <v>0</v>
      </c>
      <c r="M376" s="367" t="s">
        <v>297</v>
      </c>
      <c r="N376" s="368">
        <f>IF(I376="Not Applicable",0,IF(I376="Needs Urgent Remediation",1,IF(I376="Needs Improvement",2,IF(I376="Meets Standard",3,""))))</f>
        <v>1</v>
      </c>
    </row>
    <row r="377" spans="2:14" ht="15" thickBot="1">
      <c r="B377" s="23"/>
      <c r="C377" s="263"/>
      <c r="K377" s="353"/>
      <c r="L377" s="353"/>
      <c r="M377" s="353"/>
    </row>
    <row r="378" spans="2:14" ht="40.35" customHeight="1">
      <c r="B378" s="26" t="s">
        <v>298</v>
      </c>
      <c r="C378" s="318" t="s">
        <v>299</v>
      </c>
      <c r="D378" s="319"/>
      <c r="E378" s="319"/>
      <c r="F378" s="319"/>
      <c r="G378" s="320"/>
      <c r="H378" s="175"/>
      <c r="I378" s="415"/>
      <c r="K378" s="410"/>
      <c r="L378" s="410"/>
      <c r="M378" s="410"/>
      <c r="N378" s="411"/>
    </row>
    <row r="379" spans="2:14" ht="33" customHeight="1">
      <c r="B379" s="25"/>
      <c r="C379" s="504" t="s">
        <v>300</v>
      </c>
      <c r="D379" s="465"/>
      <c r="E379" s="465"/>
      <c r="F379" s="465"/>
      <c r="G379" s="547"/>
      <c r="H379" s="545" t="s">
        <v>301</v>
      </c>
      <c r="I379" s="8" t="s">
        <v>196</v>
      </c>
      <c r="K379" s="412"/>
      <c r="L379" s="412"/>
      <c r="M379" s="412"/>
      <c r="N379" s="413"/>
    </row>
    <row r="380" spans="2:14" ht="22.5" customHeight="1">
      <c r="B380" s="5"/>
      <c r="C380" s="505"/>
      <c r="D380" s="466"/>
      <c r="E380" s="466"/>
      <c r="F380" s="466"/>
      <c r="G380" s="548"/>
      <c r="H380" s="546"/>
      <c r="I380" s="391" t="str">
        <f>IF(COUNTA(I381:I386)=0,"",COUNTIF(I381:I386,"Yes"))</f>
        <v/>
      </c>
      <c r="K380" s="359" t="str">
        <f>IF(I380="","",IF(I380&lt;3,"Red",IF(I380&lt;4,"Yellow",IF(I380&gt;=4,"Green"))))</f>
        <v/>
      </c>
      <c r="L380" s="374" t="str">
        <f t="shared" ref="L380" si="90">IF(K380="Red",1,IF(K380="Yellow",2,IF(K380="Green",3,"")))</f>
        <v/>
      </c>
      <c r="M380" s="412"/>
      <c r="N380" s="413"/>
    </row>
    <row r="381" spans="2:14" ht="15.75" customHeight="1">
      <c r="B381" s="5"/>
      <c r="C381" s="327" t="s">
        <v>302</v>
      </c>
      <c r="D381" s="549"/>
      <c r="E381" s="550"/>
      <c r="F381" s="416"/>
      <c r="G381" s="417"/>
      <c r="H381" s="418"/>
      <c r="I381" s="104"/>
      <c r="K381" s="359"/>
      <c r="L381" s="374"/>
      <c r="M381" s="412"/>
      <c r="N381" s="413"/>
    </row>
    <row r="382" spans="2:14" ht="15.75" customHeight="1">
      <c r="B382" s="5"/>
      <c r="C382" s="327" t="s">
        <v>303</v>
      </c>
      <c r="D382" s="549"/>
      <c r="E382" s="550"/>
      <c r="F382" s="416"/>
      <c r="G382" s="417"/>
      <c r="H382" s="418"/>
      <c r="I382" s="104"/>
      <c r="K382" s="359"/>
      <c r="L382" s="374"/>
      <c r="M382" s="412"/>
      <c r="N382" s="413"/>
    </row>
    <row r="383" spans="2:14" ht="15.75" customHeight="1">
      <c r="B383" s="5"/>
      <c r="C383" s="327" t="s">
        <v>304</v>
      </c>
      <c r="D383" s="549"/>
      <c r="E383" s="550"/>
      <c r="F383" s="416"/>
      <c r="G383" s="417"/>
      <c r="H383" s="418"/>
      <c r="I383" s="104"/>
      <c r="K383" s="359"/>
      <c r="L383" s="374"/>
      <c r="M383" s="412"/>
      <c r="N383" s="413"/>
    </row>
    <row r="384" spans="2:14" ht="15.75" customHeight="1">
      <c r="B384" s="5"/>
      <c r="C384" s="327" t="s">
        <v>305</v>
      </c>
      <c r="D384" s="549"/>
      <c r="E384" s="550"/>
      <c r="F384" s="416"/>
      <c r="G384" s="417"/>
      <c r="H384" s="418"/>
      <c r="I384" s="104"/>
      <c r="K384" s="359"/>
      <c r="L384" s="374"/>
      <c r="M384" s="412"/>
      <c r="N384" s="413"/>
    </row>
    <row r="385" spans="2:14" ht="15.75" customHeight="1">
      <c r="B385" s="5"/>
      <c r="C385" s="327" t="s">
        <v>306</v>
      </c>
      <c r="D385" s="549"/>
      <c r="E385" s="550"/>
      <c r="F385" s="416"/>
      <c r="G385" s="417"/>
      <c r="H385" s="418"/>
      <c r="I385" s="104"/>
      <c r="K385" s="359"/>
      <c r="L385" s="374"/>
      <c r="M385" s="412"/>
      <c r="N385" s="413"/>
    </row>
    <row r="386" spans="2:14" ht="15.75" customHeight="1">
      <c r="B386" s="5"/>
      <c r="C386" s="327" t="s">
        <v>307</v>
      </c>
      <c r="D386" s="549"/>
      <c r="E386" s="550"/>
      <c r="F386" s="416"/>
      <c r="G386" s="417"/>
      <c r="H386" s="418"/>
      <c r="I386" s="104"/>
      <c r="K386" s="359"/>
      <c r="L386" s="374"/>
      <c r="M386" s="412"/>
      <c r="N386" s="413"/>
    </row>
    <row r="387" spans="2:14" ht="30">
      <c r="B387" s="5"/>
      <c r="C387" s="321" t="s">
        <v>308</v>
      </c>
      <c r="D387" s="538"/>
      <c r="E387" s="539"/>
      <c r="F387" s="332"/>
      <c r="G387" s="324"/>
      <c r="H387" s="63" t="s">
        <v>309</v>
      </c>
      <c r="I387" s="102"/>
      <c r="K387" s="359" t="str">
        <f>IF(I387="No","Green",IF(I387="Yes","Red",""))</f>
        <v/>
      </c>
      <c r="L387" s="360" t="str">
        <f t="shared" ref="L387:L390" si="91">IF(K387="Red",1,IF(K387="Yellow",2,IF(K387="Green",3,"")))</f>
        <v/>
      </c>
      <c r="M387" s="412"/>
      <c r="N387" s="413"/>
    </row>
    <row r="388" spans="2:14" ht="30">
      <c r="B388" s="5"/>
      <c r="C388" s="321" t="s">
        <v>310</v>
      </c>
      <c r="D388" s="538"/>
      <c r="E388" s="539"/>
      <c r="F388" s="332"/>
      <c r="G388" s="324"/>
      <c r="H388" s="63" t="s">
        <v>309</v>
      </c>
      <c r="I388" s="102"/>
      <c r="K388" s="359" t="str">
        <f t="shared" ref="K388:K390" si="92">IF(I388="No","Green",IF(I388="Yes","Red",""))</f>
        <v/>
      </c>
      <c r="L388" s="360" t="str">
        <f t="shared" si="91"/>
        <v/>
      </c>
      <c r="M388" s="412"/>
      <c r="N388" s="413"/>
    </row>
    <row r="389" spans="2:14" ht="30">
      <c r="B389" s="5"/>
      <c r="C389" s="321" t="s">
        <v>311</v>
      </c>
      <c r="D389" s="538"/>
      <c r="E389" s="539"/>
      <c r="F389" s="332"/>
      <c r="G389" s="324"/>
      <c r="H389" s="63" t="s">
        <v>309</v>
      </c>
      <c r="I389" s="102"/>
      <c r="K389" s="359" t="str">
        <f t="shared" si="92"/>
        <v/>
      </c>
      <c r="L389" s="360" t="str">
        <f t="shared" si="91"/>
        <v/>
      </c>
      <c r="M389" s="412"/>
      <c r="N389" s="413"/>
    </row>
    <row r="390" spans="2:14" ht="30.75" thickBot="1">
      <c r="B390" s="5"/>
      <c r="C390" s="321" t="s">
        <v>312</v>
      </c>
      <c r="D390" s="538"/>
      <c r="E390" s="539"/>
      <c r="F390" s="332"/>
      <c r="G390" s="324"/>
      <c r="H390" s="63" t="s">
        <v>309</v>
      </c>
      <c r="I390" s="102"/>
      <c r="K390" s="359" t="str">
        <f t="shared" si="92"/>
        <v/>
      </c>
      <c r="L390" s="360" t="str">
        <f t="shared" si="91"/>
        <v/>
      </c>
      <c r="M390" s="412"/>
      <c r="N390" s="413"/>
    </row>
    <row r="391" spans="2:14" s="355" customFormat="1" ht="30.75" thickBot="1">
      <c r="B391" s="3"/>
      <c r="C391" s="277" t="s">
        <v>313</v>
      </c>
      <c r="D391" s="436"/>
      <c r="E391" s="437"/>
      <c r="F391" s="437"/>
      <c r="G391" s="437"/>
      <c r="H391" s="438"/>
      <c r="I391" s="67" t="str">
        <f>IF(I368="NA","Not Applicable",IF(L391="","",IF(L391&lt;7,"Needs Urgent Remediation",IF(AND(L391&gt;=7,L391&lt;10),"Needs Improvement",IF(L391&gt;=10,"Meets Standard")))))</f>
        <v>Needs Urgent Remediation</v>
      </c>
      <c r="K391" s="365"/>
      <c r="L391" s="366">
        <f>IF(COUNTA(L380:L390)=0,"",SUM(L380,L387:L390))</f>
        <v>0</v>
      </c>
      <c r="M391" s="367" t="s">
        <v>314</v>
      </c>
      <c r="N391" s="368">
        <f>IF(I391="Not Applicable",0,IF(I391="Needs Urgent Remediation",1,IF(I391="Needs Improvement",2,IF(I391="Meets Standard",3,""))))</f>
        <v>1</v>
      </c>
    </row>
    <row r="392" spans="2:14">
      <c r="J392" s="419"/>
      <c r="L392" s="420"/>
      <c r="M392" s="419"/>
      <c r="N392" s="419"/>
    </row>
    <row r="393" spans="2:14">
      <c r="J393" s="419"/>
      <c r="M393" s="419"/>
      <c r="N393" s="419"/>
    </row>
  </sheetData>
  <mergeCells count="147">
    <mergeCell ref="I151:I153"/>
    <mergeCell ref="D391:H391"/>
    <mergeCell ref="D315:G316"/>
    <mergeCell ref="E288:G288"/>
    <mergeCell ref="D285:H285"/>
    <mergeCell ref="H379:H380"/>
    <mergeCell ref="G379:G380"/>
    <mergeCell ref="F379:F380"/>
    <mergeCell ref="D390:E390"/>
    <mergeCell ref="D381:E381"/>
    <mergeCell ref="D382:E382"/>
    <mergeCell ref="D383:E383"/>
    <mergeCell ref="D384:E384"/>
    <mergeCell ref="D385:E385"/>
    <mergeCell ref="D386:E386"/>
    <mergeCell ref="D387:E387"/>
    <mergeCell ref="D388:E388"/>
    <mergeCell ref="D389:E389"/>
    <mergeCell ref="I278:I280"/>
    <mergeCell ref="H173:H175"/>
    <mergeCell ref="I173:I175"/>
    <mergeCell ref="H208:H210"/>
    <mergeCell ref="I208:I210"/>
    <mergeCell ref="H224:H226"/>
    <mergeCell ref="I224:I226"/>
    <mergeCell ref="H180:H182"/>
    <mergeCell ref="I180:I182"/>
    <mergeCell ref="H187:H189"/>
    <mergeCell ref="I187:I189"/>
    <mergeCell ref="H256:H258"/>
    <mergeCell ref="I256:I258"/>
    <mergeCell ref="H263:H265"/>
    <mergeCell ref="I263:I265"/>
    <mergeCell ref="H278:H280"/>
    <mergeCell ref="D270:H270"/>
    <mergeCell ref="D273:G273"/>
    <mergeCell ref="D241:G241"/>
    <mergeCell ref="D255:G255"/>
    <mergeCell ref="D238:H238"/>
    <mergeCell ref="D219:G219"/>
    <mergeCell ref="I327:I329"/>
    <mergeCell ref="H369:H370"/>
    <mergeCell ref="G369:G370"/>
    <mergeCell ref="F369:F370"/>
    <mergeCell ref="E369:E370"/>
    <mergeCell ref="H339:H341"/>
    <mergeCell ref="I339:I341"/>
    <mergeCell ref="H311:H314"/>
    <mergeCell ref="I293:I301"/>
    <mergeCell ref="H327:H329"/>
    <mergeCell ref="H293:H301"/>
    <mergeCell ref="H315:H318"/>
    <mergeCell ref="H360:H362"/>
    <mergeCell ref="I360:I362"/>
    <mergeCell ref="D337:G337"/>
    <mergeCell ref="D338:G338"/>
    <mergeCell ref="H343:H345"/>
    <mergeCell ref="H351:H353"/>
    <mergeCell ref="E359:G359"/>
    <mergeCell ref="D358:G358"/>
    <mergeCell ref="D306:H306"/>
    <mergeCell ref="D309:G309"/>
    <mergeCell ref="D310:G310"/>
    <mergeCell ref="D311:G312"/>
    <mergeCell ref="C379:C380"/>
    <mergeCell ref="E368:G368"/>
    <mergeCell ref="C311:C312"/>
    <mergeCell ref="C315:C316"/>
    <mergeCell ref="C369:C370"/>
    <mergeCell ref="D317:F317"/>
    <mergeCell ref="D322:G322"/>
    <mergeCell ref="D350:G350"/>
    <mergeCell ref="D334:H334"/>
    <mergeCell ref="D347:H347"/>
    <mergeCell ref="D355:H355"/>
    <mergeCell ref="D364:H364"/>
    <mergeCell ref="D319:H319"/>
    <mergeCell ref="D376:H376"/>
    <mergeCell ref="E351:G353"/>
    <mergeCell ref="E360:G362"/>
    <mergeCell ref="E343:G345"/>
    <mergeCell ref="E339:G341"/>
    <mergeCell ref="D379:D380"/>
    <mergeCell ref="E379:E380"/>
    <mergeCell ref="D369:D370"/>
    <mergeCell ref="D313:F313"/>
    <mergeCell ref="D314:F314"/>
    <mergeCell ref="D2:G2"/>
    <mergeCell ref="D11:G11"/>
    <mergeCell ref="D12:G12"/>
    <mergeCell ref="D13:G13"/>
    <mergeCell ref="D14:G14"/>
    <mergeCell ref="D25:G25"/>
    <mergeCell ref="D26:G26"/>
    <mergeCell ref="D29:G29"/>
    <mergeCell ref="D30:G30"/>
    <mergeCell ref="D17:G17"/>
    <mergeCell ref="D18:G18"/>
    <mergeCell ref="D19:G19"/>
    <mergeCell ref="D23:G23"/>
    <mergeCell ref="D24:G24"/>
    <mergeCell ref="D98:G98"/>
    <mergeCell ref="D71:G71"/>
    <mergeCell ref="D75:G75"/>
    <mergeCell ref="D85:H85"/>
    <mergeCell ref="H36:H37"/>
    <mergeCell ref="H52:H53"/>
    <mergeCell ref="I35:I37"/>
    <mergeCell ref="H246:H250"/>
    <mergeCell ref="I51:I53"/>
    <mergeCell ref="I103:I105"/>
    <mergeCell ref="H103:H105"/>
    <mergeCell ref="I79:I81"/>
    <mergeCell ref="H79:H81"/>
    <mergeCell ref="I246:I250"/>
    <mergeCell ref="H231:H233"/>
    <mergeCell ref="I231:I233"/>
    <mergeCell ref="I119:I121"/>
    <mergeCell ref="H119:H121"/>
    <mergeCell ref="H129:H131"/>
    <mergeCell ref="I129:I131"/>
    <mergeCell ref="I144:I146"/>
    <mergeCell ref="H144:H146"/>
    <mergeCell ref="D110:H110"/>
    <mergeCell ref="D45:G45"/>
    <mergeCell ref="D42:H42"/>
    <mergeCell ref="D58:H58"/>
    <mergeCell ref="D88:G88"/>
    <mergeCell ref="D93:G93"/>
    <mergeCell ref="D46:G46"/>
    <mergeCell ref="D61:G61"/>
    <mergeCell ref="D62:G62"/>
    <mergeCell ref="D63:G63"/>
    <mergeCell ref="D67:G67"/>
    <mergeCell ref="D162:G162"/>
    <mergeCell ref="D163:G163"/>
    <mergeCell ref="D197:G197"/>
    <mergeCell ref="D198:G198"/>
    <mergeCell ref="D218:G218"/>
    <mergeCell ref="D113:G113"/>
    <mergeCell ref="D114:G114"/>
    <mergeCell ref="D126:H126"/>
    <mergeCell ref="D136:H136"/>
    <mergeCell ref="D159:H159"/>
    <mergeCell ref="D194:H194"/>
    <mergeCell ref="D215:H215"/>
    <mergeCell ref="H151:H153"/>
  </mergeCells>
  <phoneticPr fontId="16" type="noConversion"/>
  <conditionalFormatting sqref="I5">
    <cfRule type="containsText" dxfId="289" priority="40" operator="containsText" text="Yes">
      <formula>NOT(ISERROR(SEARCH("Yes",I5)))</formula>
    </cfRule>
    <cfRule type="containsText" dxfId="288" priority="39" operator="containsText" text="No">
      <formula>NOT(ISERROR(SEARCH("No",I5)))</formula>
    </cfRule>
  </conditionalFormatting>
  <conditionalFormatting sqref="I8">
    <cfRule type="expression" dxfId="287" priority="509">
      <formula>AND(L8&lt;&gt;"",L8&gt;=8)</formula>
    </cfRule>
    <cfRule type="expression" dxfId="286" priority="510">
      <formula>AND(L8&lt;&gt;"",L8&gt;5,L8&lt;8)</formula>
    </cfRule>
    <cfRule type="expression" dxfId="285" priority="511">
      <formula>AND(L8&lt;&gt;"",L8&lt;6)</formula>
    </cfRule>
    <cfRule type="expression" dxfId="284" priority="25">
      <formula>$L$8=0</formula>
    </cfRule>
  </conditionalFormatting>
  <conditionalFormatting sqref="I11">
    <cfRule type="containsText" dxfId="283" priority="38" operator="containsText" text="No">
      <formula>NOT(ISERROR(SEARCH("No",I11)))</formula>
    </cfRule>
    <cfRule type="containsText" dxfId="282" priority="37" operator="containsText" text="Yes">
      <formula>NOT(ISERROR(SEARCH("Yes",I11)))</formula>
    </cfRule>
  </conditionalFormatting>
  <conditionalFormatting sqref="I14">
    <cfRule type="expression" dxfId="281" priority="422">
      <formula>AND(L14&lt;&gt;"",L14&lt;6)</formula>
    </cfRule>
    <cfRule type="expression" dxfId="280" priority="421">
      <formula>AND(L14&lt;&gt;"",L14&gt;5,L14&lt;8)</formula>
    </cfRule>
    <cfRule type="expression" dxfId="279" priority="420">
      <formula>AND(L14&lt;&gt;"",L14&gt;=8)</formula>
    </cfRule>
    <cfRule type="expression" dxfId="278" priority="24">
      <formula>$L$14=0</formula>
    </cfRule>
  </conditionalFormatting>
  <conditionalFormatting sqref="I17">
    <cfRule type="containsText" dxfId="277" priority="36" operator="containsText" text="No">
      <formula>NOT(ISERROR(SEARCH("No",I17)))</formula>
    </cfRule>
    <cfRule type="containsText" dxfId="276" priority="35" operator="containsText" text="Yes">
      <formula>NOT(ISERROR(SEARCH("Yes",I17)))</formula>
    </cfRule>
  </conditionalFormatting>
  <conditionalFormatting sqref="I19">
    <cfRule type="containsText" dxfId="275" priority="33" operator="containsText" text="Yes">
      <formula>NOT(ISERROR(SEARCH("Yes",I19)))</formula>
    </cfRule>
    <cfRule type="containsText" dxfId="274" priority="34" operator="containsText" text="No">
      <formula>NOT(ISERROR(SEARCH("No",I19)))</formula>
    </cfRule>
  </conditionalFormatting>
  <conditionalFormatting sqref="I20">
    <cfRule type="expression" dxfId="273" priority="419">
      <formula>AND(L20&lt;&gt;"",L20&lt;6)</formula>
    </cfRule>
    <cfRule type="expression" dxfId="272" priority="418">
      <formula>AND(L20&lt;&gt;"",L20&gt;5,L20&lt;8)</formula>
    </cfRule>
    <cfRule type="expression" dxfId="271" priority="417">
      <formula>AND(L20&lt;&gt;"",L20&gt;=8)</formula>
    </cfRule>
    <cfRule type="expression" dxfId="270" priority="23">
      <formula>$L$20=0</formula>
    </cfRule>
  </conditionalFormatting>
  <conditionalFormatting sqref="I23">
    <cfRule type="containsText" dxfId="269" priority="31" operator="containsText" text="Yes">
      <formula>NOT(ISERROR(SEARCH("Yes",I23)))</formula>
    </cfRule>
    <cfRule type="containsText" dxfId="268" priority="32" operator="containsText" text="No">
      <formula>NOT(ISERROR(SEARCH("No",I23)))</formula>
    </cfRule>
  </conditionalFormatting>
  <conditionalFormatting sqref="I25">
    <cfRule type="containsText" dxfId="267" priority="29" operator="containsText" text="Yes">
      <formula>NOT(ISERROR(SEARCH("Yes",I25)))</formula>
    </cfRule>
    <cfRule type="containsText" dxfId="266" priority="30" operator="containsText" text="No">
      <formula>NOT(ISERROR(SEARCH("No",I25)))</formula>
    </cfRule>
  </conditionalFormatting>
  <conditionalFormatting sqref="I26">
    <cfRule type="expression" dxfId="265" priority="414">
      <formula>AND(L26&lt;&gt;"",L26&gt;=8)</formula>
    </cfRule>
    <cfRule type="expression" dxfId="264" priority="415">
      <formula>AND(L26&lt;&gt;"",L26&gt;5,L26&lt;8)</formula>
    </cfRule>
    <cfRule type="expression" dxfId="263" priority="416">
      <formula>AND(L26&lt;&gt;"",L26&lt;6)</formula>
    </cfRule>
    <cfRule type="expression" dxfId="262" priority="22">
      <formula>$L$26=0</formula>
    </cfRule>
  </conditionalFormatting>
  <conditionalFormatting sqref="I30:I41">
    <cfRule type="expression" dxfId="261" priority="62">
      <formula>$I$29="NA"</formula>
    </cfRule>
  </conditionalFormatting>
  <conditionalFormatting sqref="I31:I34 I47:I50 I64:I66 I68:I70 I72:I74 I76:I78 I89:I92 I94:I97 I99:I102 I115:I118 I140:I143 I164:I167 I169:I175 I180:I182 I187:I189 I220:I223 I274:I277 I290:I292 I310 I323:I326 I6:I7 I12:I13 I18 I24 I374:I375 I204:I207 I242:I245">
    <cfRule type="containsText" dxfId="260" priority="591" operator="containsText" text="Yes">
      <formula>NOT(ISERROR(SEARCH("Yes",I6)))</formula>
    </cfRule>
  </conditionalFormatting>
  <conditionalFormatting sqref="I38:I41">
    <cfRule type="expression" dxfId="259" priority="273">
      <formula>AND(I38&lt;&gt;"",I38&lt;70%)</formula>
    </cfRule>
    <cfRule type="expression" dxfId="258" priority="272">
      <formula>AND(I38&lt;&gt;"",I38&gt;=70%,I38&lt;90%)</formula>
    </cfRule>
    <cfRule type="expression" dxfId="257" priority="271">
      <formula>AND(I38&lt;&gt;"",I38&gt;=90%)</formula>
    </cfRule>
    <cfRule type="expression" dxfId="256" priority="270">
      <formula>$H$29="NA"</formula>
    </cfRule>
  </conditionalFormatting>
  <conditionalFormatting sqref="I42">
    <cfRule type="expression" dxfId="255" priority="499">
      <formula>AND(L42&lt;&gt;"",L42&lt;14)</formula>
    </cfRule>
    <cfRule type="expression" dxfId="254" priority="21">
      <formula>$L$42=0</formula>
    </cfRule>
    <cfRule type="expression" dxfId="253" priority="498">
      <formula>AND(L42&lt;&gt;"",L42&gt;=14,L42&lt;20)</formula>
    </cfRule>
    <cfRule type="expression" dxfId="252" priority="445">
      <formula>$I$29="NA"</formula>
    </cfRule>
    <cfRule type="expression" dxfId="251" priority="497">
      <formula>AND(L42&lt;&gt;"",L42&gt;=20)</formula>
    </cfRule>
  </conditionalFormatting>
  <conditionalFormatting sqref="I46:I57">
    <cfRule type="expression" dxfId="250" priority="61">
      <formula>$I$45="NA"</formula>
    </cfRule>
  </conditionalFormatting>
  <conditionalFormatting sqref="I54:I57">
    <cfRule type="expression" dxfId="249" priority="264">
      <formula>AND(I54&lt;&gt;"",I54&gt;=70%,I54&lt;90%)</formula>
    </cfRule>
    <cfRule type="expression" dxfId="248" priority="263">
      <formula>AND(I54&lt;&gt;"",I54&gt;=90%)</formula>
    </cfRule>
    <cfRule type="expression" dxfId="247" priority="262">
      <formula>$H$29="NA"</formula>
    </cfRule>
    <cfRule type="expression" dxfId="246" priority="265">
      <formula>AND(I54&lt;&gt;"",I54&lt;70%)</formula>
    </cfRule>
  </conditionalFormatting>
  <conditionalFormatting sqref="I58">
    <cfRule type="expression" dxfId="245" priority="258" stopIfTrue="1">
      <formula>$I$45="NA"</formula>
    </cfRule>
    <cfRule type="expression" dxfId="244" priority="20">
      <formula>$L$58=0</formula>
    </cfRule>
    <cfRule type="expression" dxfId="243" priority="259">
      <formula>AND(L58&lt;&gt;"",L58&gt;=20)</formula>
    </cfRule>
    <cfRule type="expression" dxfId="242" priority="261">
      <formula>AND(L58&lt;&gt;"",L58&lt;14)</formula>
    </cfRule>
    <cfRule type="expression" dxfId="241" priority="260">
      <formula>AND(L58&lt;&gt;"",L58&gt;=14,L58&lt;20)</formula>
    </cfRule>
  </conditionalFormatting>
  <conditionalFormatting sqref="I62">
    <cfRule type="expression" dxfId="240" priority="48">
      <formula>$I$61="NA"</formula>
    </cfRule>
  </conditionalFormatting>
  <conditionalFormatting sqref="I63 I65:I67 I69:I81">
    <cfRule type="expression" dxfId="239" priority="433">
      <formula>OR($I$61="NA",$I$62="NA")</formula>
    </cfRule>
  </conditionalFormatting>
  <conditionalFormatting sqref="I64">
    <cfRule type="expression" dxfId="238" priority="347">
      <formula>$I$62="NA"</formula>
    </cfRule>
    <cfRule type="expression" dxfId="237" priority="50">
      <formula>$I$61="NA"</formula>
    </cfRule>
  </conditionalFormatting>
  <conditionalFormatting sqref="I64:I66 I68:I70 I72:I74 I76:I78 I310 I89:I92 I94:I97 I99:I102 I115:I118 I220:I223 I290:I292 I31:I34 I47:I50 I164:I167 I169:I175 I180:I182 I187:I189 I140:I143 I274:I277 I323:I326">
    <cfRule type="containsText" dxfId="236" priority="578" operator="containsText" text="No">
      <formula>NOT(ISERROR(SEARCH("No",I31)))</formula>
    </cfRule>
  </conditionalFormatting>
  <conditionalFormatting sqref="I68">
    <cfRule type="expression" dxfId="235" priority="345">
      <formula>$I$62="NA"</formula>
    </cfRule>
    <cfRule type="expression" dxfId="234" priority="49">
      <formula>$I$61="NA"</formula>
    </cfRule>
  </conditionalFormatting>
  <conditionalFormatting sqref="I72">
    <cfRule type="expression" dxfId="233" priority="343">
      <formula>$I$45="NA"</formula>
    </cfRule>
  </conditionalFormatting>
  <conditionalFormatting sqref="I76">
    <cfRule type="expression" dxfId="232" priority="341">
      <formula>$I$45="NA"</formula>
    </cfRule>
  </conditionalFormatting>
  <conditionalFormatting sqref="I82:I84">
    <cfRule type="expression" dxfId="231" priority="251">
      <formula>AND(I82&lt;&gt;"",I82&gt;=90%)</formula>
    </cfRule>
    <cfRule type="expression" dxfId="230" priority="252">
      <formula>AND(I82&lt;&gt;"",I82&gt;=70%,I82&lt;90%)</formula>
    </cfRule>
    <cfRule type="expression" dxfId="229" priority="253">
      <formula>AND(I82&lt;&gt;"",I82&lt;70%)</formula>
    </cfRule>
    <cfRule type="expression" dxfId="228" priority="60">
      <formula>$I$61="NA"</formula>
    </cfRule>
    <cfRule type="expression" dxfId="227" priority="51">
      <formula>$I$62="NA"</formula>
    </cfRule>
  </conditionalFormatting>
  <conditionalFormatting sqref="I85">
    <cfRule type="expression" dxfId="226" priority="493">
      <formula>AND(L85&lt;&gt;"",L85&lt;25)</formula>
    </cfRule>
    <cfRule type="expression" dxfId="225" priority="492">
      <formula>AND(L85&lt;&gt;"",L85&gt;24,L85&lt;35)</formula>
    </cfRule>
    <cfRule type="expression" dxfId="224" priority="491">
      <formula>AND(L85&lt;&gt;"",L85&gt;=35)</formula>
    </cfRule>
    <cfRule type="expression" dxfId="223" priority="19">
      <formula>$L$85=0</formula>
    </cfRule>
    <cfRule type="expression" dxfId="222" priority="442">
      <formula>OR($I$61="NA",$I$62="NA")</formula>
    </cfRule>
  </conditionalFormatting>
  <conditionalFormatting sqref="I89">
    <cfRule type="expression" dxfId="221" priority="357">
      <formula>$I$45="NA"</formula>
    </cfRule>
  </conditionalFormatting>
  <conditionalFormatting sqref="I94">
    <cfRule type="expression" dxfId="220" priority="355">
      <formula>$I$45="NA"</formula>
    </cfRule>
  </conditionalFormatting>
  <conditionalFormatting sqref="I99">
    <cfRule type="expression" dxfId="219" priority="353">
      <formula>$I$45="NA"</formula>
    </cfRule>
  </conditionalFormatting>
  <conditionalFormatting sqref="I106:I109">
    <cfRule type="expression" dxfId="218" priority="243">
      <formula>AND(I106&lt;&gt;"",I106&gt;=90%)</formula>
    </cfRule>
    <cfRule type="expression" dxfId="217" priority="245">
      <formula>AND(I106&lt;&gt;"",I106&lt;70%)</formula>
    </cfRule>
    <cfRule type="expression" dxfId="216" priority="244">
      <formula>AND(I106&lt;&gt;"",I106&gt;=70%,I106&lt;90%)</formula>
    </cfRule>
    <cfRule type="expression" dxfId="215" priority="242">
      <formula>$H$29="NA"</formula>
    </cfRule>
  </conditionalFormatting>
  <conditionalFormatting sqref="I110">
    <cfRule type="expression" dxfId="214" priority="235">
      <formula>AND(L110&lt;&gt;"",L110&gt;=38)</formula>
    </cfRule>
    <cfRule type="expression" dxfId="213" priority="234">
      <formula>$I$87="NA"</formula>
    </cfRule>
    <cfRule type="expression" dxfId="212" priority="18">
      <formula>$L$110=0</formula>
    </cfRule>
    <cfRule type="expression" dxfId="211" priority="236">
      <formula>AND(L110&lt;&gt;"",L110&gt;=27,L110&lt;38)</formula>
    </cfRule>
    <cfRule type="expression" dxfId="210" priority="237">
      <formula>AND(L110&lt;&gt;"",L110&lt;27)</formula>
    </cfRule>
  </conditionalFormatting>
  <conditionalFormatting sqref="I114:I125">
    <cfRule type="expression" dxfId="209" priority="59">
      <formula>$I$113="NA"</formula>
    </cfRule>
  </conditionalFormatting>
  <conditionalFormatting sqref="I115">
    <cfRule type="expression" dxfId="208" priority="339">
      <formula>$I$45="NA"</formula>
    </cfRule>
  </conditionalFormatting>
  <conditionalFormatting sqref="I122:I125">
    <cfRule type="expression" dxfId="207" priority="229">
      <formula>AND(I122&lt;&gt;"",I122&lt;70%)</formula>
    </cfRule>
    <cfRule type="expression" dxfId="206" priority="228">
      <formula>AND(I122&lt;&gt;"",I122&gt;=70%,I122&lt;90%)</formula>
    </cfRule>
    <cfRule type="expression" dxfId="205" priority="227">
      <formula>AND(I122&lt;&gt;"",I122&gt;=90%)</formula>
    </cfRule>
    <cfRule type="expression" dxfId="204" priority="226">
      <formula>$H$29="NA"</formula>
    </cfRule>
  </conditionalFormatting>
  <conditionalFormatting sqref="I126">
    <cfRule type="expression" dxfId="203" priority="223">
      <formula>AND(L126&lt;&gt;"",L126&gt;=20)</formula>
    </cfRule>
    <cfRule type="expression" dxfId="202" priority="225">
      <formula>AND(L126&lt;&gt;"",L126&lt;14)</formula>
    </cfRule>
    <cfRule type="expression" dxfId="201" priority="224">
      <formula>AND(L126&lt;&gt;"",L126&gt;=14,L126&lt;20)</formula>
    </cfRule>
    <cfRule type="expression" dxfId="200" priority="222">
      <formula>$I$113="NA"</formula>
    </cfRule>
    <cfRule type="expression" dxfId="199" priority="17">
      <formula>$L$126=0</formula>
    </cfRule>
  </conditionalFormatting>
  <conditionalFormatting sqref="I132:I135">
    <cfRule type="expression" dxfId="198" priority="216">
      <formula>AND(I132&lt;&gt;"",I132&gt;=70%,I132&lt;90%)</formula>
    </cfRule>
    <cfRule type="expression" dxfId="197" priority="215">
      <formula>AND(I132&lt;&gt;"",I132&gt;=90%)</formula>
    </cfRule>
    <cfRule type="expression" dxfId="196" priority="214">
      <formula>$H$29="NA"</formula>
    </cfRule>
    <cfRule type="expression" dxfId="195" priority="217">
      <formula>AND(I132&lt;&gt;"",I132&lt;70%)</formula>
    </cfRule>
  </conditionalFormatting>
  <conditionalFormatting sqref="I136">
    <cfRule type="expression" dxfId="194" priority="484">
      <formula>AND(L136&lt;&gt;"",L136&lt;7)</formula>
    </cfRule>
    <cfRule type="expression" dxfId="193" priority="15">
      <formula>$L$136=0</formula>
    </cfRule>
    <cfRule type="expression" dxfId="192" priority="483">
      <formula>AND(L136&lt;&gt;"",L136&gt;6,L136&lt;10)</formula>
    </cfRule>
    <cfRule type="expression" dxfId="191" priority="482">
      <formula>AND(L136&lt;&gt;"",L136&gt;=10)</formula>
    </cfRule>
  </conditionalFormatting>
  <conditionalFormatting sqref="I147:I150 I154:I158">
    <cfRule type="expression" dxfId="190" priority="209">
      <formula>AND(I147&lt;&gt;"",I147&lt;70%)</formula>
    </cfRule>
    <cfRule type="expression" dxfId="189" priority="208">
      <formula>AND(I147&lt;&gt;"",I147&gt;=70%,I147&lt;90%)</formula>
    </cfRule>
    <cfRule type="expression" dxfId="188" priority="207">
      <formula>AND(I147&lt;&gt;"",I147&gt;=90%)</formula>
    </cfRule>
    <cfRule type="expression" dxfId="187" priority="206">
      <formula>$H$29="NA"</formula>
    </cfRule>
  </conditionalFormatting>
  <conditionalFormatting sqref="I159">
    <cfRule type="expression" dxfId="186" priority="14">
      <formula>$L$159=0</formula>
    </cfRule>
    <cfRule type="expression" dxfId="185" priority="205">
      <formula>AND(L159&lt;&gt;"",L159&lt;20)</formula>
    </cfRule>
    <cfRule type="expression" dxfId="184" priority="204">
      <formula>AND(L159&lt;&gt;"",L159&gt;=20,L159&lt;29)</formula>
    </cfRule>
    <cfRule type="expression" dxfId="183" priority="203">
      <formula>AND(L159&lt;&gt;"",L159&gt;=29)</formula>
    </cfRule>
    <cfRule type="expression" dxfId="182" priority="202">
      <formula>$I$138="NA"</formula>
    </cfRule>
  </conditionalFormatting>
  <conditionalFormatting sqref="I163:I193">
    <cfRule type="expression" dxfId="181" priority="43">
      <formula>$I$162="NA"</formula>
    </cfRule>
  </conditionalFormatting>
  <conditionalFormatting sqref="I176:I179">
    <cfRule type="expression" dxfId="180" priority="197">
      <formula>AND(I176&lt;&gt;"",I176&lt;70%)</formula>
    </cfRule>
    <cfRule type="expression" dxfId="179" priority="196">
      <formula>AND(I176&lt;&gt;"",I176&gt;=70%,I176&lt;90%)</formula>
    </cfRule>
    <cfRule type="expression" dxfId="178" priority="195">
      <formula>AND(I176&lt;&gt;"",I176&gt;=90%)</formula>
    </cfRule>
  </conditionalFormatting>
  <conditionalFormatting sqref="I183:I186">
    <cfRule type="expression" dxfId="177" priority="186">
      <formula>$H$29="NA"</formula>
    </cfRule>
    <cfRule type="expression" dxfId="176" priority="187">
      <formula>AND(I183&lt;&gt;"",I183&gt;=90%)</formula>
    </cfRule>
    <cfRule type="expression" dxfId="175" priority="188">
      <formula>AND(I183&lt;&gt;"",I183&gt;=70%,I183&lt;90%)</formula>
    </cfRule>
    <cfRule type="expression" dxfId="174" priority="189">
      <formula>AND(I183&lt;&gt;"",I183&lt;70%)</formula>
    </cfRule>
  </conditionalFormatting>
  <conditionalFormatting sqref="I190:I193">
    <cfRule type="expression" dxfId="173" priority="178">
      <formula>$H$29="NA"</formula>
    </cfRule>
    <cfRule type="expression" dxfId="172" priority="180">
      <formula>AND(I190&lt;&gt;"",I190&gt;=70%,I190&lt;90%)</formula>
    </cfRule>
    <cfRule type="expression" dxfId="171" priority="181">
      <formula>AND(I190&lt;&gt;"",I190&lt;70%)</formula>
    </cfRule>
    <cfRule type="expression" dxfId="170" priority="179">
      <formula>AND(I190&lt;&gt;"",I190&gt;=90%)</formula>
    </cfRule>
  </conditionalFormatting>
  <conditionalFormatting sqref="I194">
    <cfRule type="expression" dxfId="169" priority="440">
      <formula>$I$162="NA"</formula>
    </cfRule>
    <cfRule type="expression" dxfId="168" priority="13">
      <formula>$L$194=0</formula>
    </cfRule>
    <cfRule type="expression" dxfId="167" priority="478">
      <formula>AND(L194&lt;&gt;"",L194&lt;34)</formula>
    </cfRule>
    <cfRule type="expression" dxfId="166" priority="477">
      <formula>AND(L194&lt;&gt;"",L194&gt;33,L194&lt;48)</formula>
    </cfRule>
    <cfRule type="expression" dxfId="165" priority="476">
      <formula>AND(L194&lt;&gt;"",L194&gt;=48)</formula>
    </cfRule>
  </conditionalFormatting>
  <conditionalFormatting sqref="I198:I213">
    <cfRule type="expression" dxfId="164" priority="321">
      <formula>$I$197="NA"</formula>
    </cfRule>
  </conditionalFormatting>
  <conditionalFormatting sqref="I199:I202">
    <cfRule type="containsText" dxfId="163" priority="328" operator="containsText" text="Yes">
      <formula>NOT(ISERROR(SEARCH("Yes",I199)))</formula>
    </cfRule>
    <cfRule type="containsText" dxfId="162" priority="327" operator="containsText" text="No">
      <formula>NOT(ISERROR(SEARCH("No",I199)))</formula>
    </cfRule>
  </conditionalFormatting>
  <conditionalFormatting sqref="I204:I207">
    <cfRule type="containsText" dxfId="161" priority="322" operator="containsText" text="No">
      <formula>NOT(ISERROR(SEARCH("No",I204)))</formula>
    </cfRule>
  </conditionalFormatting>
  <conditionalFormatting sqref="I211:I214">
    <cfRule type="expression" dxfId="160" priority="166">
      <formula>AND(I211&lt;&gt;"",I211&lt;70%)</formula>
    </cfRule>
    <cfRule type="expression" dxfId="159" priority="165">
      <formula>AND(I211&lt;&gt;"",I211&gt;=70%,I211&lt;90%)</formula>
    </cfRule>
    <cfRule type="expression" dxfId="158" priority="164">
      <formula>AND(I211&lt;&gt;"",I211&gt;=90%)</formula>
    </cfRule>
    <cfRule type="expression" dxfId="157" priority="57">
      <formula>$I$197="NA"</formula>
    </cfRule>
  </conditionalFormatting>
  <conditionalFormatting sqref="I215">
    <cfRule type="expression" dxfId="156" priority="12">
      <formula>$L$215=0</formula>
    </cfRule>
    <cfRule type="expression" dxfId="155" priority="384">
      <formula>AND(L215&lt;&gt;"",L215&gt;=29)</formula>
    </cfRule>
    <cfRule type="expression" dxfId="154" priority="385">
      <formula>AND(L215&lt;&gt;"",L215&gt;19,L215&lt;29)</formula>
    </cfRule>
    <cfRule type="expression" dxfId="153" priority="386">
      <formula>AND(L215&lt;&gt;"",L215&lt;20)</formula>
    </cfRule>
    <cfRule type="expression" dxfId="152" priority="383">
      <formula>$I$197="NA"</formula>
    </cfRule>
  </conditionalFormatting>
  <conditionalFormatting sqref="I219:I237">
    <cfRule type="expression" dxfId="151" priority="147">
      <formula>$I$218="NA"</formula>
    </cfRule>
  </conditionalFormatting>
  <conditionalFormatting sqref="I227:I230">
    <cfRule type="expression" dxfId="150" priority="158">
      <formula>AND(I227&lt;&gt;"",I227&lt;70%)</formula>
    </cfRule>
    <cfRule type="expression" dxfId="149" priority="157">
      <formula>AND(I227&lt;&gt;"",I227&gt;=70%,I227&lt;90%)</formula>
    </cfRule>
    <cfRule type="expression" dxfId="148" priority="156">
      <formula>AND(I227&lt;&gt;"",I227&gt;=90%)</formula>
    </cfRule>
  </conditionalFormatting>
  <conditionalFormatting sqref="I234:I237">
    <cfRule type="expression" dxfId="147" priority="149">
      <formula>AND(I234&lt;&gt;"",I234&gt;=70%,I234&lt;90%)</formula>
    </cfRule>
    <cfRule type="expression" dxfId="146" priority="148">
      <formula>AND(I234&lt;&gt;"",I234&gt;=90%)</formula>
    </cfRule>
    <cfRule type="expression" dxfId="145" priority="150">
      <formula>AND(I234&lt;&gt;"",I234&lt;70%)</formula>
    </cfRule>
  </conditionalFormatting>
  <conditionalFormatting sqref="I238">
    <cfRule type="expression" dxfId="144" priority="11">
      <formula>$L$238=0</formula>
    </cfRule>
    <cfRule type="expression" dxfId="143" priority="146">
      <formula>AND(L238&lt;&gt;"",L238&lt;20)</formula>
    </cfRule>
    <cfRule type="expression" dxfId="142" priority="145">
      <formula>AND(L238&lt;&gt;"",L238&gt;19,L238&lt;29)</formula>
    </cfRule>
    <cfRule type="expression" dxfId="141" priority="144">
      <formula>AND(L238&lt;&gt;"",L238&gt;=29)</formula>
    </cfRule>
    <cfRule type="expression" dxfId="140" priority="143">
      <formula>$I$218="NA"</formula>
    </cfRule>
  </conditionalFormatting>
  <conditionalFormatting sqref="I242:I245">
    <cfRule type="containsText" dxfId="139" priority="313" operator="containsText" text="No">
      <formula>NOT(ISERROR(SEARCH("No",I242)))</formula>
    </cfRule>
  </conditionalFormatting>
  <conditionalFormatting sqref="I251:I254">
    <cfRule type="expression" dxfId="138" priority="116">
      <formula>AND(I251&lt;&gt;"",I251&gt;=3)</formula>
    </cfRule>
    <cfRule type="expression" dxfId="137" priority="117">
      <formula>AND(I251&lt;&gt;"",I251=2)</formula>
    </cfRule>
    <cfRule type="expression" dxfId="136" priority="118">
      <formula>AND(I251&lt;&gt;"",I251&lt;2)</formula>
    </cfRule>
  </conditionalFormatting>
  <conditionalFormatting sqref="I256:I269">
    <cfRule type="expression" dxfId="135" priority="119">
      <formula>$I$255="NA"</formula>
    </cfRule>
  </conditionalFormatting>
  <conditionalFormatting sqref="I259:I262">
    <cfRule type="expression" dxfId="134" priority="128">
      <formula>AND(I259&lt;&gt;"",I259&gt;=90%)</formula>
    </cfRule>
    <cfRule type="expression" dxfId="133" priority="130">
      <formula>AND(I259&lt;&gt;"",I259&lt;70%)</formula>
    </cfRule>
    <cfRule type="expression" dxfId="132" priority="129">
      <formula>AND(I259&lt;&gt;"",I259&gt;=70%,I259&lt;90%)</formula>
    </cfRule>
  </conditionalFormatting>
  <conditionalFormatting sqref="I266:I269">
    <cfRule type="expression" dxfId="131" priority="120">
      <formula>AND(I266&lt;&gt;"",I266&gt;=90%)</formula>
    </cfRule>
    <cfRule type="expression" dxfId="130" priority="121">
      <formula>AND(I266&lt;&gt;"",I266&gt;=70%,I266&lt;90%)</formula>
    </cfRule>
    <cfRule type="expression" dxfId="129" priority="122">
      <formula>AND(I266&lt;&gt;"",I266&lt;70%)</formula>
    </cfRule>
  </conditionalFormatting>
  <conditionalFormatting sqref="I270">
    <cfRule type="expression" dxfId="128" priority="10">
      <formula>$L$270=0</formula>
    </cfRule>
    <cfRule type="expression" dxfId="127" priority="115">
      <formula>AND(L270&lt;&gt;"",L270&lt;27)</formula>
    </cfRule>
    <cfRule type="expression" dxfId="126" priority="114">
      <formula>AND(L270&lt;&gt;"",L270&gt;=27,L270&lt;38)</formula>
    </cfRule>
    <cfRule type="expression" dxfId="125" priority="113">
      <formula>AND(L270&lt;&gt;"",L270&gt;=38)</formula>
    </cfRule>
  </conditionalFormatting>
  <conditionalFormatting sqref="I281:I284">
    <cfRule type="expression" dxfId="124" priority="104">
      <formula>$H$29="NA"</formula>
    </cfRule>
    <cfRule type="expression" dxfId="123" priority="105">
      <formula>AND(I281&lt;&gt;"",I281&gt;=90%)</formula>
    </cfRule>
    <cfRule type="expression" dxfId="122" priority="106">
      <formula>AND(I281&lt;&gt;"",I281&gt;=70%,I281&lt;90%)</formula>
    </cfRule>
    <cfRule type="expression" dxfId="121" priority="107">
      <formula>AND(I281&lt;&gt;"",I281&lt;70%)</formula>
    </cfRule>
  </conditionalFormatting>
  <conditionalFormatting sqref="I285">
    <cfRule type="expression" dxfId="120" priority="9">
      <formula>$L$285=0</formula>
    </cfRule>
    <cfRule type="expression" dxfId="119" priority="101">
      <formula>AND(L285&lt;&gt;"",L285&gt;=20)</formula>
    </cfRule>
    <cfRule type="expression" dxfId="118" priority="102">
      <formula>AND(L285&lt;&gt;"",L285&gt;=14,L285&lt;20)</formula>
    </cfRule>
    <cfRule type="expression" dxfId="117" priority="103">
      <formula>AND(L285&lt;&gt;"",L285&lt;14)</formula>
    </cfRule>
  </conditionalFormatting>
  <conditionalFormatting sqref="I289:I305">
    <cfRule type="expression" dxfId="116" priority="96">
      <formula>$I$288="NA"</formula>
    </cfRule>
  </conditionalFormatting>
  <conditionalFormatting sqref="I302:I305">
    <cfRule type="expression" dxfId="115" priority="97">
      <formula>AND(I302&lt;&gt;"",I302&gt;=6)</formula>
    </cfRule>
    <cfRule type="expression" dxfId="114" priority="99">
      <formula>AND(I302&lt;&gt;"",I302&lt;3)</formula>
    </cfRule>
    <cfRule type="expression" dxfId="113" priority="98">
      <formula>AND(I302&lt;&gt;"",I302&gt;=3,I302&lt;6)</formula>
    </cfRule>
  </conditionalFormatting>
  <conditionalFormatting sqref="I306">
    <cfRule type="expression" dxfId="112" priority="397">
      <formula>AND(L306&lt;&gt;"",L306&lt;12)</formula>
    </cfRule>
    <cfRule type="expression" dxfId="111" priority="396">
      <formula>AND(L306&lt;&gt;"",L306&gt;=12,L306&lt;17)</formula>
    </cfRule>
    <cfRule type="expression" dxfId="110" priority="395">
      <formula>AND(L306&lt;&gt;"",L306&gt;=17)</formula>
    </cfRule>
    <cfRule type="expression" dxfId="109" priority="8">
      <formula>$L$306=0</formula>
    </cfRule>
    <cfRule type="expression" dxfId="108" priority="394">
      <formula>$I$288="NA"</formula>
    </cfRule>
  </conditionalFormatting>
  <conditionalFormatting sqref="I310:I318">
    <cfRule type="expression" dxfId="107" priority="425">
      <formula>$I$309="NA"</formula>
    </cfRule>
  </conditionalFormatting>
  <conditionalFormatting sqref="I312">
    <cfRule type="expression" dxfId="106" priority="567">
      <formula>AND(I312&lt;&gt;"",I312&gt;=90%)</formula>
    </cfRule>
    <cfRule type="expression" dxfId="105" priority="568">
      <formula>AND(I312&lt;&gt;"",I312&gt;=70%,I312&lt;90%)</formula>
    </cfRule>
    <cfRule type="expression" dxfId="104" priority="569">
      <formula>AND(I312&lt;&gt;"",I312&lt;70%)</formula>
    </cfRule>
  </conditionalFormatting>
  <conditionalFormatting sqref="I316">
    <cfRule type="expression" dxfId="103" priority="590">
      <formula>AND(I316&lt;&gt;"",I316&lt;70%)</formula>
    </cfRule>
    <cfRule type="expression" dxfId="102" priority="588">
      <formula>AND(I316&lt;&gt;"",I316&gt;=90%)</formula>
    </cfRule>
    <cfRule type="expression" dxfId="101" priority="589">
      <formula>AND(I316&lt;&gt;"",I316&gt;=70%,I316&lt;90%)</formula>
    </cfRule>
  </conditionalFormatting>
  <conditionalFormatting sqref="I319">
    <cfRule type="expression" dxfId="100" priority="436">
      <formula>$I$309="NA"</formula>
    </cfRule>
    <cfRule type="expression" dxfId="99" priority="459">
      <formula>AND(L319&lt;&gt;"",L319&gt;4,L319&lt;8)</formula>
    </cfRule>
    <cfRule type="expression" dxfId="98" priority="460">
      <formula>AND(L319&lt;&gt;"",L319&lt;5)</formula>
    </cfRule>
    <cfRule type="expression" dxfId="97" priority="7">
      <formula>$L$319=0</formula>
    </cfRule>
    <cfRule type="expression" dxfId="96" priority="458">
      <formula>AND(L319&lt;&gt;"",L319&gt;=8)</formula>
    </cfRule>
  </conditionalFormatting>
  <conditionalFormatting sqref="I330:I333">
    <cfRule type="expression" dxfId="95" priority="88">
      <formula>AND(I330&lt;&gt;"",I330&lt;70%)</formula>
    </cfRule>
    <cfRule type="expression" dxfId="94" priority="87">
      <formula>AND(I330&lt;&gt;"",I330&gt;=70%,I330&lt;90%)</formula>
    </cfRule>
    <cfRule type="expression" dxfId="93" priority="86">
      <formula>AND(I330&lt;&gt;"",I330&gt;=90%)</formula>
    </cfRule>
    <cfRule type="expression" dxfId="92" priority="85">
      <formula>$H$29="NA"</formula>
    </cfRule>
  </conditionalFormatting>
  <conditionalFormatting sqref="I334">
    <cfRule type="expression" dxfId="91" priority="6">
      <formula>$L$334=0</formula>
    </cfRule>
    <cfRule type="expression" dxfId="90" priority="84">
      <formula>AND(L334&lt;&gt;"",L334&lt;14)</formula>
    </cfRule>
    <cfRule type="expression" dxfId="89" priority="83">
      <formula>AND(L334&lt;&gt;"",L334&gt;=14,L334&lt;20)</formula>
    </cfRule>
    <cfRule type="expression" dxfId="88" priority="82">
      <formula>AND(L334&lt;&gt;"",L334&gt;=20)</formula>
    </cfRule>
  </conditionalFormatting>
  <conditionalFormatting sqref="I338">
    <cfRule type="containsText" dxfId="87" priority="367" operator="containsText" text="No">
      <formula>NOT(ISERROR(SEARCH("No",I338)))</formula>
    </cfRule>
    <cfRule type="containsText" dxfId="86" priority="368" operator="containsText" text="Yes">
      <formula>NOT(ISERROR(SEARCH("Yes",I338)))</formula>
    </cfRule>
  </conditionalFormatting>
  <conditionalFormatting sqref="I338:I342">
    <cfRule type="expression" dxfId="85" priority="42">
      <formula>$I$337="NA"</formula>
    </cfRule>
  </conditionalFormatting>
  <conditionalFormatting sqref="I342:I346">
    <cfRule type="expression" dxfId="84" priority="74">
      <formula>AND(I342&lt;&gt;"",I342&gt;=90%)</formula>
    </cfRule>
    <cfRule type="expression" dxfId="83" priority="76">
      <formula>AND(I342&lt;&gt;"",I342&lt;70%)</formula>
    </cfRule>
    <cfRule type="expression" dxfId="82" priority="75">
      <formula>AND(I342&lt;&gt;"",I342&gt;=70%,I342&lt;90%)</formula>
    </cfRule>
  </conditionalFormatting>
  <conditionalFormatting sqref="I346">
    <cfRule type="expression" dxfId="81" priority="73">
      <formula>$I$337="NA"</formula>
    </cfRule>
  </conditionalFormatting>
  <conditionalFormatting sqref="I347">
    <cfRule type="expression" dxfId="80" priority="55">
      <formula>$I$337="NA"</formula>
    </cfRule>
    <cfRule type="expression" dxfId="79" priority="361">
      <formula>AND(L347&lt;&gt;"",L347&gt;=7)</formula>
    </cfRule>
    <cfRule type="expression" dxfId="78" priority="362">
      <formula>AND(L347&lt;&gt;"",L347&gt;=5,L347&lt;7)</formula>
    </cfRule>
    <cfRule type="expression" dxfId="77" priority="363">
      <formula>AND(L347&lt;&gt;"",L347&lt;5)</formula>
    </cfRule>
    <cfRule type="expression" dxfId="76" priority="5">
      <formula>$L$347=0</formula>
    </cfRule>
  </conditionalFormatting>
  <conditionalFormatting sqref="I352:I354">
    <cfRule type="expression" dxfId="75" priority="72">
      <formula>AND(I352&lt;&gt;"",I352&lt;70%)</formula>
    </cfRule>
    <cfRule type="expression" dxfId="74" priority="71">
      <formula>AND(I352&lt;&gt;"",I352&gt;=70%,I352&lt;90%)</formula>
    </cfRule>
    <cfRule type="expression" dxfId="73" priority="70">
      <formula>AND(I352&lt;&gt;"",I352&gt;=90%)</formula>
    </cfRule>
  </conditionalFormatting>
  <conditionalFormatting sqref="I354">
    <cfRule type="expression" dxfId="72" priority="69">
      <formula>$I$350="NA"</formula>
    </cfRule>
  </conditionalFormatting>
  <conditionalFormatting sqref="I355">
    <cfRule type="expression" dxfId="71" priority="290">
      <formula>AND(L355&lt;&gt;"",L355&gt;=3)</formula>
    </cfRule>
    <cfRule type="expression" dxfId="70" priority="292">
      <formula>AND(L355&lt;&gt;"",L355&lt;2)</formula>
    </cfRule>
    <cfRule type="expression" dxfId="69" priority="4">
      <formula>$L$364=0</formula>
    </cfRule>
    <cfRule type="expression" dxfId="68" priority="291">
      <formula>AND(L355&lt;&gt;"",L355&gt;=2,L355&lt;3)</formula>
    </cfRule>
    <cfRule type="expression" dxfId="67" priority="54">
      <formula>$I$350="NA"</formula>
    </cfRule>
  </conditionalFormatting>
  <conditionalFormatting sqref="I359">
    <cfRule type="containsText" dxfId="66" priority="288" operator="containsText" text="Yes">
      <formula>NOT(ISERROR(SEARCH("Yes",I359)))</formula>
    </cfRule>
    <cfRule type="containsText" dxfId="65" priority="287" operator="containsText" text="No">
      <formula>NOT(ISERROR(SEARCH("No",I359)))</formula>
    </cfRule>
  </conditionalFormatting>
  <conditionalFormatting sqref="I359:I363">
    <cfRule type="expression" dxfId="64" priority="41">
      <formula>$I$358="NA"</formula>
    </cfRule>
  </conditionalFormatting>
  <conditionalFormatting sqref="I363">
    <cfRule type="expression" dxfId="63" priority="68">
      <formula>AND(I363&lt;&gt;"",I363&lt;70%)</formula>
    </cfRule>
    <cfRule type="expression" dxfId="62" priority="66">
      <formula>AND(I363&lt;&gt;"",I363&gt;=90%)</formula>
    </cfRule>
    <cfRule type="expression" dxfId="61" priority="67">
      <formula>AND(I363&lt;&gt;"",I363&gt;=70%,I363&lt;90%)</formula>
    </cfRule>
  </conditionalFormatting>
  <conditionalFormatting sqref="I364">
    <cfRule type="expression" dxfId="60" priority="3">
      <formula>$L$364=0</formula>
    </cfRule>
    <cfRule type="expression" dxfId="59" priority="281">
      <formula>AND(L364&lt;&gt;"",L364&gt;=5)</formula>
    </cfRule>
    <cfRule type="expression" dxfId="58" priority="52">
      <formula>$I$358="NA"</formula>
    </cfRule>
    <cfRule type="expression" dxfId="57" priority="282">
      <formula>AND(L364&lt;&gt;"",L364&gt;=4,L364&lt;5)</formula>
    </cfRule>
    <cfRule type="expression" dxfId="56" priority="283">
      <formula>AND(L364&lt;&gt;"",L364&lt;4)</formula>
    </cfRule>
  </conditionalFormatting>
  <conditionalFormatting sqref="I367 I369:I375 I379:I390">
    <cfRule type="expression" dxfId="55" priority="424">
      <formula>$I$368="NA"</formula>
    </cfRule>
  </conditionalFormatting>
  <conditionalFormatting sqref="I370">
    <cfRule type="expression" dxfId="54" priority="512">
      <formula>AND(I370&lt;&gt;"",I370=3)</formula>
    </cfRule>
    <cfRule type="expression" dxfId="53" priority="513">
      <formula>AND(I370&lt;&gt;"",I370=2)</formula>
    </cfRule>
    <cfRule type="expression" dxfId="52" priority="573">
      <formula>AND(I370&lt;&gt;"",I370&lt;2)</formula>
    </cfRule>
  </conditionalFormatting>
  <conditionalFormatting sqref="I374:I375 I6:I7 I12:I13 I18 I24">
    <cfRule type="containsText" dxfId="51" priority="577" operator="containsText" text="No">
      <formula>NOT(ISERROR(SEARCH("No",I6)))</formula>
    </cfRule>
  </conditionalFormatting>
  <conditionalFormatting sqref="I376 I391">
    <cfRule type="expression" dxfId="50" priority="435">
      <formula>$I$368="NA"</formula>
    </cfRule>
  </conditionalFormatting>
  <conditionalFormatting sqref="I376">
    <cfRule type="expression" dxfId="49" priority="452">
      <formula>AND(L376&lt;&gt;"",L376&gt;=8)</formula>
    </cfRule>
    <cfRule type="expression" dxfId="48" priority="453">
      <formula>AND(L376&lt;&gt;"",L376=7)</formula>
    </cfRule>
    <cfRule type="expression" dxfId="47" priority="454">
      <formula>AND(L376&lt;&gt;"",L376&lt;7)</formula>
    </cfRule>
    <cfRule type="expression" dxfId="46" priority="2">
      <formula>$L$376=0</formula>
    </cfRule>
  </conditionalFormatting>
  <conditionalFormatting sqref="I380">
    <cfRule type="expression" dxfId="45" priority="570">
      <formula>AND(I380&lt;&gt;"",I380&gt;=4)</formula>
    </cfRule>
    <cfRule type="expression" dxfId="44" priority="571">
      <formula>AND(I380&lt;&gt;"",I380&gt;=2,I380&lt;4)</formula>
    </cfRule>
    <cfRule type="expression" dxfId="43" priority="572">
      <formula>AND(I380&lt;&gt;"",I380&lt;2)</formula>
    </cfRule>
  </conditionalFormatting>
  <conditionalFormatting sqref="I387:I390">
    <cfRule type="containsText" dxfId="42" priority="575" operator="containsText" text="No">
      <formula>NOT(ISERROR(SEARCH("No",I387)))</formula>
    </cfRule>
    <cfRule type="containsText" dxfId="41" priority="576" operator="containsText" text="Yes">
      <formula>NOT(ISERROR(SEARCH("Yes",I387)))</formula>
    </cfRule>
  </conditionalFormatting>
  <conditionalFormatting sqref="I391">
    <cfRule type="expression" dxfId="40" priority="1">
      <formula>$L$391=0</formula>
    </cfRule>
    <cfRule type="expression" dxfId="39" priority="449">
      <formula>AND(L391&lt;&gt;"",L391&gt;=10)</formula>
    </cfRule>
    <cfRule type="expression" dxfId="38" priority="450">
      <formula>AND(L391&lt;&gt;"",L391&gt;6,L391&lt;10)</formula>
    </cfRule>
    <cfRule type="expression" dxfId="37" priority="451">
      <formula>AND(L391&lt;&gt;"",L391&lt;7)</formula>
    </cfRule>
  </conditionalFormatting>
  <conditionalFormatting sqref="J392:J393">
    <cfRule type="containsText" dxfId="36" priority="446" operator="containsText" text="Green">
      <formula>NOT(ISERROR(SEARCH("Green",J392)))</formula>
    </cfRule>
    <cfRule type="containsText" dxfId="35" priority="447" operator="containsText" text="Yellow">
      <formula>NOT(ISERROR(SEARCH("Yellow",J392)))</formula>
    </cfRule>
    <cfRule type="containsText" dxfId="34" priority="448" operator="containsText" text="Red">
      <formula>NOT(ISERROR(SEARCH("Red",J392)))</formula>
    </cfRule>
  </conditionalFormatting>
  <conditionalFormatting sqref="K5 K180:K182 K187:K189 K594:L1048576">
    <cfRule type="containsText" dxfId="33" priority="609" operator="containsText" text="Y">
      <formula>NOT(ISERROR(SEARCH("Y",K5)))</formula>
    </cfRule>
  </conditionalFormatting>
  <conditionalFormatting sqref="K13">
    <cfRule type="containsText" dxfId="32" priority="607" operator="containsText" text="Y">
      <formula>NOT(ISERROR(SEARCH("Y",K13)))</formula>
    </cfRule>
  </conditionalFormatting>
  <conditionalFormatting sqref="K17">
    <cfRule type="containsText" dxfId="31" priority="606" operator="containsText" text="Y">
      <formula>NOT(ISERROR(SEARCH("Y",K17)))</formula>
    </cfRule>
  </conditionalFormatting>
  <conditionalFormatting sqref="K19">
    <cfRule type="containsText" dxfId="30" priority="605" operator="containsText" text="Y">
      <formula>NOT(ISERROR(SEARCH("Y",K19)))</formula>
    </cfRule>
  </conditionalFormatting>
  <conditionalFormatting sqref="K23">
    <cfRule type="containsText" dxfId="29" priority="604" operator="containsText" text="Y">
      <formula>NOT(ISERROR(SEARCH("Y",K23)))</formula>
    </cfRule>
  </conditionalFormatting>
  <conditionalFormatting sqref="K25">
    <cfRule type="containsText" dxfId="28" priority="603" operator="containsText" text="Y">
      <formula>NOT(ISERROR(SEARCH("Y",K25)))</formula>
    </cfRule>
  </conditionalFormatting>
  <conditionalFormatting sqref="K29:K34">
    <cfRule type="containsText" dxfId="27" priority="602" operator="containsText" text="Y">
      <formula>NOT(ISERROR(SEARCH("Y",K29)))</formula>
    </cfRule>
  </conditionalFormatting>
  <conditionalFormatting sqref="K47:K50">
    <cfRule type="containsText" dxfId="26" priority="359" operator="containsText" text="Y">
      <formula>NOT(ISERROR(SEARCH("Y",K47)))</formula>
    </cfRule>
  </conditionalFormatting>
  <conditionalFormatting sqref="K64:K66">
    <cfRule type="containsText" dxfId="25" priority="346" operator="containsText" text="Y">
      <formula>NOT(ISERROR(SEARCH("Y",K64)))</formula>
    </cfRule>
  </conditionalFormatting>
  <conditionalFormatting sqref="K68:K70">
    <cfRule type="containsText" dxfId="24" priority="344" operator="containsText" text="Y">
      <formula>NOT(ISERROR(SEARCH("Y",K68)))</formula>
    </cfRule>
  </conditionalFormatting>
  <conditionalFormatting sqref="K72:K74">
    <cfRule type="containsText" dxfId="23" priority="342" operator="containsText" text="Y">
      <formula>NOT(ISERROR(SEARCH("Y",K72)))</formula>
    </cfRule>
  </conditionalFormatting>
  <conditionalFormatting sqref="K76:K78">
    <cfRule type="containsText" dxfId="22" priority="340" operator="containsText" text="Y">
      <formula>NOT(ISERROR(SEARCH("Y",K76)))</formula>
    </cfRule>
  </conditionalFormatting>
  <conditionalFormatting sqref="K88:K102">
    <cfRule type="containsText" dxfId="21" priority="352" operator="containsText" text="Y">
      <formula>NOT(ISERROR(SEARCH("Y",K88)))</formula>
    </cfRule>
  </conditionalFormatting>
  <conditionalFormatting sqref="K114:K118">
    <cfRule type="containsText" dxfId="20" priority="338" operator="containsText" text="Y">
      <formula>NOT(ISERROR(SEARCH("Y",K114)))</formula>
    </cfRule>
  </conditionalFormatting>
  <conditionalFormatting sqref="K139:K143">
    <cfRule type="containsText" dxfId="19" priority="335" operator="containsText" text="Y">
      <formula>NOT(ISERROR(SEARCH("Y",K139)))</formula>
    </cfRule>
  </conditionalFormatting>
  <conditionalFormatting sqref="K163:K175">
    <cfRule type="containsText" dxfId="18" priority="329" operator="containsText" text="Y">
      <formula>NOT(ISERROR(SEARCH("Y",K163)))</formula>
    </cfRule>
  </conditionalFormatting>
  <conditionalFormatting sqref="K198:K207">
    <cfRule type="containsText" dxfId="17" priority="318" operator="containsText" text="Y">
      <formula>NOT(ISERROR(SEARCH("Y",K198)))</formula>
    </cfRule>
  </conditionalFormatting>
  <conditionalFormatting sqref="K219:K223">
    <cfRule type="containsText" dxfId="16" priority="314" operator="containsText" text="Y">
      <formula>NOT(ISERROR(SEARCH("Y",K219)))</formula>
    </cfRule>
  </conditionalFormatting>
  <conditionalFormatting sqref="K241:K245">
    <cfRule type="containsText" dxfId="15" priority="309" operator="containsText" text="Y">
      <formula>NOT(ISERROR(SEARCH("Y",K241)))</formula>
    </cfRule>
  </conditionalFormatting>
  <conditionalFormatting sqref="K273:K277">
    <cfRule type="containsText" dxfId="14" priority="304" operator="containsText" text="Y">
      <formula>NOT(ISERROR(SEARCH("Y",K273)))</formula>
    </cfRule>
  </conditionalFormatting>
  <conditionalFormatting sqref="K290:K292 K310:K312 K368:K369">
    <cfRule type="containsText" dxfId="13" priority="598" operator="containsText" text="Y">
      <formula>NOT(ISERROR(SEARCH("Y",K290)))</formula>
    </cfRule>
  </conditionalFormatting>
  <conditionalFormatting sqref="K316">
    <cfRule type="containsText" dxfId="12" priority="514" operator="containsText" text="Y">
      <formula>NOT(ISERROR(SEARCH("Y",K316)))</formula>
    </cfRule>
  </conditionalFormatting>
  <conditionalFormatting sqref="K322:K326">
    <cfRule type="containsText" dxfId="11" priority="299" operator="containsText" text="Y">
      <formula>NOT(ISERROR(SEARCH("Y",K322)))</formula>
    </cfRule>
  </conditionalFormatting>
  <conditionalFormatting sqref="K337:K338">
    <cfRule type="containsText" dxfId="10" priority="369" operator="containsText" text="Y">
      <formula>NOT(ISERROR(SEARCH("Y",K337)))</formula>
    </cfRule>
  </conditionalFormatting>
  <conditionalFormatting sqref="K350">
    <cfRule type="containsText" dxfId="9" priority="298" operator="containsText" text="Y">
      <formula>NOT(ISERROR(SEARCH("Y",K350)))</formula>
    </cfRule>
  </conditionalFormatting>
  <conditionalFormatting sqref="K358:K359">
    <cfRule type="containsText" dxfId="8" priority="289" operator="containsText" text="Y">
      <formula>NOT(ISERROR(SEARCH("Y",K358)))</formula>
    </cfRule>
  </conditionalFormatting>
  <conditionalFormatting sqref="K387:K390">
    <cfRule type="containsText" dxfId="7" priority="596" operator="containsText" text="Y">
      <formula>NOT(ISERROR(SEARCH("Y",K387)))</formula>
    </cfRule>
  </conditionalFormatting>
  <conditionalFormatting sqref="K2:L2 K11">
    <cfRule type="containsText" dxfId="6" priority="608" operator="containsText" text="Y">
      <formula>NOT(ISERROR(SEARCH("Y",K2)))</formula>
    </cfRule>
  </conditionalFormatting>
  <conditionalFormatting sqref="M392:N393">
    <cfRule type="containsText" dxfId="5" priority="592" operator="containsText" text="Green">
      <formula>NOT(ISERROR(SEARCH("Green",M392)))</formula>
    </cfRule>
    <cfRule type="containsText" dxfId="4" priority="593" operator="containsText" text="Yellow">
      <formula>NOT(ISERROR(SEARCH("Yellow",M392)))</formula>
    </cfRule>
    <cfRule type="containsText" dxfId="3" priority="594" operator="containsText" text="Red">
      <formula>NOT(ISERROR(SEARCH("Red",M392)))</formula>
    </cfRule>
  </conditionalFormatting>
  <dataValidations count="9">
    <dataValidation type="list" allowBlank="1" showInputMessage="1" showErrorMessage="1" sqref="I11:I13 I17:I19 I23:I25 I31:I34 I199:I202 I290:I292 I374:I375 I72:I74 I99:I102 I47:I50 I242:I245 I76:I78 I94:I97 I323:I326 I115:I118 I164:I167 I5:I7 I220:I223 I204:I207 I387:I390 I310 I64:I66 I68:I70 I338 I89:I92 I140:I143 I359 I274:I277 I169:I175 I180:I182 I187:I189" xr:uid="{A1F2128D-82D2-48C6-940B-02A6BC2C79E6}">
      <formula1>"Yes,No"</formula1>
    </dataValidation>
    <dataValidation type="list" allowBlank="1" showInputMessage="1" showErrorMessage="1" sqref="I45 I288 I113 I61:I62 I309 I255 I218 I197 I162 I368 I29 I337 I350 I358" xr:uid="{A91A61B3-D1FD-44EC-A0BB-D6AD2E304920}">
      <formula1>"YES,NA"</formula1>
    </dataValidation>
    <dataValidation type="list" allowBlank="1" showInputMessage="1" showErrorMessage="1" sqref="I381:I386 I371:I373 D247:G250 D294:G301" xr:uid="{A961BFD6-00A9-4DBC-A221-4BD0BD8243B3}">
      <formula1>"YES,NO"</formula1>
    </dataValidation>
    <dataValidation type="whole" allowBlank="1" showInputMessage="1" showErrorMessage="1" sqref="D257:G257 D225:G225 D209:G209 D130:G130 D188:G188 D181:G181 D174:G174 D120:G120 D104:G104 E80:G80 D361 D344 D232:G232 D145:G145 D264:G264 D352 D52:G52 D279:G279 D340 D328:G328 D36:G36 D152:G152" xr:uid="{6BFEA351-BA29-47E4-BF3A-72439791A3C9}">
      <formula1>0</formula1>
      <formula2>100</formula2>
    </dataValidation>
    <dataValidation type="whole" allowBlank="1" showInputMessage="1" showErrorMessage="1" errorTitle="Numerator exceed Denominator" error="Invalid input: numerator exceeds denominator" sqref="D189:G189 D233:G233 D258:G258 D53:G53 D105:G105 D175:G175 D182:G182 D265:G265" xr:uid="{4C7B04CB-0373-4FCC-ADA4-0D8D0723B2D1}">
      <formula1>0</formula1>
      <formula2>D52</formula2>
    </dataValidation>
    <dataValidation type="whole" allowBlank="1" showInputMessage="1" showErrorMessage="1" errorTitle="Numeratot exceed Denominator" error="Invalid input: numerator exceeds denominator" sqref="E81:G81" xr:uid="{3D1C51B9-B1F7-4A88-9666-FFF7B63D83E8}">
      <formula1>0</formula1>
      <formula2>E80</formula2>
    </dataValidation>
    <dataValidation type="whole" allowBlank="1" showInputMessage="1" showErrorMessage="1" errorTitle="Numerator exceed denominator" error="Invalid input: numerator exceeds denominator" sqref="D280:G280 D210:G210 D226:G226 G318 D121:G121 D131:G131 D146:G146 D153:G153" xr:uid="{8D3A0FF8-8B74-4717-8500-42B2DF9E6475}">
      <formula1>0</formula1>
      <formula2>D120</formula2>
    </dataValidation>
    <dataValidation type="whole" allowBlank="1" showInputMessage="1" showErrorMessage="1" errorTitle="Numerator exceeds Denominator" error="Invalid input: numerator exceeds denominator" sqref="G314" xr:uid="{0D4C1ED7-A74E-48A2-885D-5A263C02FF78}">
      <formula1>0</formula1>
      <formula2>G313</formula2>
    </dataValidation>
    <dataValidation type="whole" allowBlank="1" showInputMessage="1" showErrorMessage="1" error="Invalid input: numerator exceeds denominator" sqref="D329:G329 D341 D345 D353 D362 D37:G37" xr:uid="{FEC0D673-5E04-4EF5-966A-D1ACAD546C61}">
      <formula1>0</formula1>
      <formula2>D36</formula2>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1DCD1-3EE6-4237-9A36-D65D367607DE}">
  <sheetPr>
    <tabColor theme="0" tint="-0.499984740745262"/>
  </sheetPr>
  <dimension ref="B1:Q32"/>
  <sheetViews>
    <sheetView showGridLines="0" showRowColHeaders="0" zoomScale="60" zoomScaleNormal="60" workbookViewId="0">
      <selection activeCell="F14" sqref="F14"/>
    </sheetView>
  </sheetViews>
  <sheetFormatPr defaultColWidth="8.625" defaultRowHeight="15.75"/>
  <cols>
    <col min="1" max="1" width="8.625" style="109"/>
    <col min="2" max="2" width="21.5" style="109" bestFit="1" customWidth="1"/>
    <col min="3" max="3" width="9.5" style="109" bestFit="1" customWidth="1"/>
    <col min="4" max="4" width="8.625" style="109"/>
    <col min="5" max="8" width="12.125" style="109" customWidth="1"/>
    <col min="9" max="9" width="8.625" style="109"/>
    <col min="10" max="10" width="21.5" style="109" bestFit="1" customWidth="1"/>
    <col min="11" max="11" width="9.5" style="109" bestFit="1" customWidth="1"/>
    <col min="12" max="17" width="12.125" style="109" customWidth="1"/>
    <col min="18" max="16384" width="8.625" style="109"/>
  </cols>
  <sheetData>
    <row r="1" spans="2:17" ht="6.75" customHeight="1" thickBot="1"/>
    <row r="2" spans="2:17" ht="16.5" thickBot="1">
      <c r="B2" s="586" t="s">
        <v>315</v>
      </c>
      <c r="C2" s="587"/>
      <c r="D2" s="587"/>
      <c r="E2" s="587"/>
      <c r="F2" s="587"/>
      <c r="G2" s="587"/>
      <c r="H2" s="587"/>
      <c r="I2" s="587"/>
      <c r="J2" s="587"/>
      <c r="K2" s="587"/>
      <c r="L2" s="587"/>
      <c r="M2" s="587"/>
      <c r="N2" s="587"/>
      <c r="O2" s="587"/>
      <c r="P2" s="587"/>
      <c r="Q2" s="588"/>
    </row>
    <row r="3" spans="2:17" ht="10.5" customHeight="1" thickBot="1"/>
    <row r="4" spans="2:17" ht="32.25" thickBot="1">
      <c r="B4" s="130" t="s">
        <v>38</v>
      </c>
      <c r="C4" s="125" t="s">
        <v>316</v>
      </c>
      <c r="D4" s="126" t="s">
        <v>317</v>
      </c>
      <c r="E4" s="155" t="s">
        <v>318</v>
      </c>
      <c r="F4" s="156" t="s">
        <v>319</v>
      </c>
      <c r="G4" s="157" t="s">
        <v>320</v>
      </c>
      <c r="H4" s="158" t="s">
        <v>36</v>
      </c>
      <c r="J4" s="130" t="s">
        <v>38</v>
      </c>
      <c r="K4" s="125" t="s">
        <v>316</v>
      </c>
      <c r="L4" s="155" t="s">
        <v>318</v>
      </c>
      <c r="M4" s="156" t="s">
        <v>319</v>
      </c>
      <c r="N4" s="157" t="s">
        <v>320</v>
      </c>
      <c r="O4" s="155" t="s">
        <v>318</v>
      </c>
      <c r="P4" s="156" t="s">
        <v>319</v>
      </c>
      <c r="Q4" s="157" t="s">
        <v>320</v>
      </c>
    </row>
    <row r="5" spans="2:17" ht="15.75" customHeight="1">
      <c r="B5" s="112" t="s">
        <v>46</v>
      </c>
      <c r="C5" s="127" t="s">
        <v>321</v>
      </c>
      <c r="D5" s="135">
        <f>IF('SQA Questionnaire'!N8="","",'SQA Questionnaire'!N8)</f>
        <v>1</v>
      </c>
      <c r="E5" s="137">
        <f t="shared" ref="E5:E28" si="0">IF(AND(D5&lt;&gt;"",D5=1),1,NA())</f>
        <v>1</v>
      </c>
      <c r="F5" s="228" t="e">
        <f t="shared" ref="F5:F28" si="1">IF(AND(D5&lt;&gt;"",D5=2),2,NA())</f>
        <v>#N/A</v>
      </c>
      <c r="G5" s="138" t="e">
        <f t="shared" ref="G5:G28" si="2">IF(AND(D5&lt;&gt;"",D5=3),3,NA())</f>
        <v>#N/A</v>
      </c>
      <c r="H5" s="78" t="e">
        <f t="shared" ref="H5:H28" si="3">IF(AND(D5&lt;&gt;"",D5=0),4,NA())</f>
        <v>#N/A</v>
      </c>
      <c r="J5" s="112" t="s">
        <v>46</v>
      </c>
      <c r="K5" s="127" t="s">
        <v>321</v>
      </c>
      <c r="L5" s="148">
        <f>IF(COUNTA('SQA Questionnaire'!K5:K7)=0,NA(),COUNTIF('SQA Questionnaire'!K5:K7,"Red"))</f>
        <v>0</v>
      </c>
      <c r="M5" s="229">
        <f>IF(COUNTA('SQA Questionnaire'!K5:K7)=0,NA(),COUNTIF('SQA Questionnaire'!K5:K7,"Yellow"))</f>
        <v>0</v>
      </c>
      <c r="N5" s="149">
        <f>IF(COUNTA('SQA Questionnaire'!K5:K7)=0,NA(),COUNTIF('SQA Questionnaire'!K5:K7,"Green"))</f>
        <v>0</v>
      </c>
      <c r="O5" s="143" t="e">
        <f>IF(IFERROR(L5/SUM(L5:N5),NA())=0,NA(),IFERROR(L5/SUM(L5:N5),NA()))</f>
        <v>#N/A</v>
      </c>
      <c r="P5" s="118" t="e">
        <f>IF(IFERROR(M5/SUM(L5:N5),NA())=0,NA(),IFERROR(M5/SUM(L5:N5),NA()))</f>
        <v>#N/A</v>
      </c>
      <c r="Q5" s="144" t="e">
        <f>IF(IFERROR(N5/SUM(L5:N5),NA())=0,NA(),IFERROR(N5/SUM(L5:N5),NA()))</f>
        <v>#N/A</v>
      </c>
    </row>
    <row r="6" spans="2:17">
      <c r="B6" s="114" t="s">
        <v>56</v>
      </c>
      <c r="C6" s="127" t="s">
        <v>322</v>
      </c>
      <c r="D6" s="135">
        <f>IF('SQA Questionnaire'!N14="","",'SQA Questionnaire'!N14)</f>
        <v>1</v>
      </c>
      <c r="E6" s="137">
        <f t="shared" si="0"/>
        <v>1</v>
      </c>
      <c r="F6" s="228" t="e">
        <f t="shared" si="1"/>
        <v>#N/A</v>
      </c>
      <c r="G6" s="138" t="e">
        <f t="shared" si="2"/>
        <v>#N/A</v>
      </c>
      <c r="H6" s="78" t="e">
        <f t="shared" si="3"/>
        <v>#N/A</v>
      </c>
      <c r="J6" s="114" t="s">
        <v>56</v>
      </c>
      <c r="K6" s="127" t="s">
        <v>322</v>
      </c>
      <c r="L6" s="148">
        <f>IF(COUNTA('SQA Questionnaire'!K11:K13)=0,NA(),COUNTIF('SQA Questionnaire'!K11:K13,"Red"))</f>
        <v>0</v>
      </c>
      <c r="M6" s="229">
        <f>IF(COUNTA('SQA Questionnaire'!K11:K13)=0,NA(),COUNTIF('SQA Questionnaire'!K11:K13,"Yellow"))</f>
        <v>0</v>
      </c>
      <c r="N6" s="149">
        <f>IF(COUNTA('SQA Questionnaire'!K11:K13)=0,NA(),COUNTIF('SQA Questionnaire'!K11:K13,"Green"))</f>
        <v>0</v>
      </c>
      <c r="O6" s="143" t="e">
        <f t="shared" ref="O6:O28" si="4">IF(IFERROR(L6/SUM(L6:N6),NA())=0,NA(),IFERROR(L6/SUM(L6:N6),NA()))</f>
        <v>#N/A</v>
      </c>
      <c r="P6" s="118" t="e">
        <f t="shared" ref="P6:P28" si="5">IF(IFERROR(M6/SUM(L6:N6),NA())=0,NA(),IFERROR(M6/SUM(L6:N6),NA()))</f>
        <v>#N/A</v>
      </c>
      <c r="Q6" s="144" t="e">
        <f t="shared" ref="Q6:Q28" si="6">IF(IFERROR(N6/SUM(L6:N6),NA())=0,NA(),IFERROR(N6/SUM(L6:N6),NA()))</f>
        <v>#N/A</v>
      </c>
    </row>
    <row r="7" spans="2:17">
      <c r="B7" s="114" t="s">
        <v>63</v>
      </c>
      <c r="C7" s="127" t="s">
        <v>323</v>
      </c>
      <c r="D7" s="135">
        <f>IF('SQA Questionnaire'!N20="","",'SQA Questionnaire'!N20)</f>
        <v>1</v>
      </c>
      <c r="E7" s="137">
        <f t="shared" si="0"/>
        <v>1</v>
      </c>
      <c r="F7" s="228" t="e">
        <f t="shared" si="1"/>
        <v>#N/A</v>
      </c>
      <c r="G7" s="138" t="e">
        <f t="shared" si="2"/>
        <v>#N/A</v>
      </c>
      <c r="H7" s="78" t="e">
        <f t="shared" si="3"/>
        <v>#N/A</v>
      </c>
      <c r="J7" s="114" t="s">
        <v>63</v>
      </c>
      <c r="K7" s="127" t="s">
        <v>323</v>
      </c>
      <c r="L7" s="148">
        <f>IF(COUNTA('SQA Questionnaire'!K17:K19)=0,NA(),COUNTIF('SQA Questionnaire'!K17:K19,"Red"))</f>
        <v>0</v>
      </c>
      <c r="M7" s="229">
        <f>IF(COUNTA('SQA Questionnaire'!K17:K19)=0,NA(),COUNTIF('SQA Questionnaire'!K17:K19,"Yellow"))</f>
        <v>0</v>
      </c>
      <c r="N7" s="149">
        <f>IF(COUNTA('SQA Questionnaire'!K17:K19)=0,NA(),COUNTIF('SQA Questionnaire'!K17:K19,"Green"))</f>
        <v>0</v>
      </c>
      <c r="O7" s="143" t="e">
        <f t="shared" si="4"/>
        <v>#N/A</v>
      </c>
      <c r="P7" s="118" t="e">
        <f t="shared" si="5"/>
        <v>#N/A</v>
      </c>
      <c r="Q7" s="144" t="e">
        <f t="shared" si="6"/>
        <v>#N/A</v>
      </c>
    </row>
    <row r="8" spans="2:17">
      <c r="B8" s="114" t="s">
        <v>69</v>
      </c>
      <c r="C8" s="127" t="s">
        <v>324</v>
      </c>
      <c r="D8" s="135">
        <f>IF('SQA Questionnaire'!N26="","",'SQA Questionnaire'!N26)</f>
        <v>1</v>
      </c>
      <c r="E8" s="137">
        <f t="shared" si="0"/>
        <v>1</v>
      </c>
      <c r="F8" s="228" t="e">
        <f t="shared" si="1"/>
        <v>#N/A</v>
      </c>
      <c r="G8" s="138" t="e">
        <f t="shared" si="2"/>
        <v>#N/A</v>
      </c>
      <c r="H8" s="78" t="e">
        <f t="shared" si="3"/>
        <v>#N/A</v>
      </c>
      <c r="J8" s="114" t="s">
        <v>69</v>
      </c>
      <c r="K8" s="127" t="s">
        <v>324</v>
      </c>
      <c r="L8" s="148">
        <f>IF(COUNTA('SQA Questionnaire'!K23:K25)=0,NA(),COUNTIF('SQA Questionnaire'!K23:K25,"Red"))</f>
        <v>0</v>
      </c>
      <c r="M8" s="229">
        <f>IF(COUNTA('SQA Questionnaire'!K23:K25)=0,NA(),COUNTIF('SQA Questionnaire'!K23:K25,"Yellow"))</f>
        <v>0</v>
      </c>
      <c r="N8" s="149">
        <f>IF(COUNTA('SQA Questionnaire'!K23:K25)=0,NA(),COUNTIF('SQA Questionnaire'!K23:K25,"Green"))</f>
        <v>0</v>
      </c>
      <c r="O8" s="143" t="e">
        <f t="shared" si="4"/>
        <v>#N/A</v>
      </c>
      <c r="P8" s="118" t="e">
        <f t="shared" si="5"/>
        <v>#N/A</v>
      </c>
      <c r="Q8" s="144" t="e">
        <f t="shared" si="6"/>
        <v>#N/A</v>
      </c>
    </row>
    <row r="9" spans="2:17">
      <c r="B9" s="114" t="s">
        <v>325</v>
      </c>
      <c r="C9" s="127" t="s">
        <v>326</v>
      </c>
      <c r="D9" s="135">
        <f>IF('SQA Questionnaire'!N42="","",'SQA Questionnaire'!N42)</f>
        <v>1</v>
      </c>
      <c r="E9" s="137">
        <f t="shared" si="0"/>
        <v>1</v>
      </c>
      <c r="F9" s="228" t="e">
        <f t="shared" si="1"/>
        <v>#N/A</v>
      </c>
      <c r="G9" s="138" t="e">
        <f t="shared" si="2"/>
        <v>#N/A</v>
      </c>
      <c r="H9" s="78" t="e">
        <f t="shared" si="3"/>
        <v>#N/A</v>
      </c>
      <c r="J9" s="114" t="s">
        <v>325</v>
      </c>
      <c r="K9" s="127" t="s">
        <v>326</v>
      </c>
      <c r="L9" s="148">
        <f>IF(COUNTA('SQA Questionnaire'!K31:K41)=0,NA(),COUNTIF('SQA Questionnaire'!K31:K41,"Red"))</f>
        <v>0</v>
      </c>
      <c r="M9" s="229">
        <f>IF(COUNTA('SQA Questionnaire'!K31:K41)=0,NA(),COUNTIF('SQA Questionnaire'!K31:K41,"Yellow"))</f>
        <v>0</v>
      </c>
      <c r="N9" s="149">
        <f>IF(COUNTA('SQA Questionnaire'!K31:K41)=0,NA(),COUNTIF('SQA Questionnaire'!K31:K41,"Green"))</f>
        <v>0</v>
      </c>
      <c r="O9" s="143" t="e">
        <f t="shared" si="4"/>
        <v>#N/A</v>
      </c>
      <c r="P9" s="118" t="e">
        <f t="shared" si="5"/>
        <v>#N/A</v>
      </c>
      <c r="Q9" s="144" t="e">
        <f t="shared" si="6"/>
        <v>#N/A</v>
      </c>
    </row>
    <row r="10" spans="2:17">
      <c r="B10" s="114" t="s">
        <v>327</v>
      </c>
      <c r="C10" s="127" t="s">
        <v>328</v>
      </c>
      <c r="D10" s="135">
        <f>IF('SQA Questionnaire'!N58="","",'SQA Questionnaire'!N58)</f>
        <v>1</v>
      </c>
      <c r="E10" s="137">
        <f t="shared" si="0"/>
        <v>1</v>
      </c>
      <c r="F10" s="228" t="e">
        <f t="shared" si="1"/>
        <v>#N/A</v>
      </c>
      <c r="G10" s="138" t="e">
        <f t="shared" si="2"/>
        <v>#N/A</v>
      </c>
      <c r="H10" s="78" t="e">
        <f t="shared" si="3"/>
        <v>#N/A</v>
      </c>
      <c r="J10" s="114" t="s">
        <v>327</v>
      </c>
      <c r="K10" s="127" t="s">
        <v>328</v>
      </c>
      <c r="L10" s="148">
        <f>IF(COUNTA('SQA Questionnaire'!K47:K57)=0,NA(),COUNTIF('SQA Questionnaire'!K47:K57,"Red"))</f>
        <v>0</v>
      </c>
      <c r="M10" s="229">
        <f>IF(COUNTA('SQA Questionnaire'!K47:K57)=0,NA(),COUNTIF('SQA Questionnaire'!K47:K57,"Yellow"))</f>
        <v>0</v>
      </c>
      <c r="N10" s="149">
        <f>IF(COUNTA('SQA Questionnaire'!K47:K57)=0,NA(),COUNTIF('SQA Questionnaire'!K47:K57,"Green"))</f>
        <v>0</v>
      </c>
      <c r="O10" s="143" t="e">
        <f t="shared" si="4"/>
        <v>#N/A</v>
      </c>
      <c r="P10" s="118" t="e">
        <f t="shared" si="5"/>
        <v>#N/A</v>
      </c>
      <c r="Q10" s="144" t="e">
        <f t="shared" si="6"/>
        <v>#N/A</v>
      </c>
    </row>
    <row r="11" spans="2:17">
      <c r="B11" s="114" t="s">
        <v>104</v>
      </c>
      <c r="C11" s="127" t="s">
        <v>329</v>
      </c>
      <c r="D11" s="135">
        <f>IF('SQA Questionnaire'!N85="","",'SQA Questionnaire'!N85)</f>
        <v>1</v>
      </c>
      <c r="E11" s="137">
        <f t="shared" si="0"/>
        <v>1</v>
      </c>
      <c r="F11" s="228" t="e">
        <f t="shared" si="1"/>
        <v>#N/A</v>
      </c>
      <c r="G11" s="138" t="e">
        <f t="shared" si="2"/>
        <v>#N/A</v>
      </c>
      <c r="H11" s="78" t="e">
        <f t="shared" si="3"/>
        <v>#N/A</v>
      </c>
      <c r="J11" s="114" t="s">
        <v>104</v>
      </c>
      <c r="K11" s="127" t="s">
        <v>329</v>
      </c>
      <c r="L11" s="148">
        <f>IF(COUNTA('SQA Questionnaire'!K64:K84)=0,NA(),COUNTIF('SQA Questionnaire'!K64:K84,"Red"))</f>
        <v>0</v>
      </c>
      <c r="M11" s="229">
        <f>IF(COUNTA('SQA Questionnaire'!K64:K84)=0,NA(),COUNTIF('SQA Questionnaire'!K64:K84,"Yellow"))</f>
        <v>0</v>
      </c>
      <c r="N11" s="149">
        <f>IF(COUNTA('SQA Questionnaire'!K64:K84)=0,NA(),COUNTIF('SQA Questionnaire'!K64:K84,"Green"))</f>
        <v>0</v>
      </c>
      <c r="O11" s="143" t="e">
        <f t="shared" si="4"/>
        <v>#N/A</v>
      </c>
      <c r="P11" s="118" t="e">
        <f t="shared" si="5"/>
        <v>#N/A</v>
      </c>
      <c r="Q11" s="144" t="e">
        <f t="shared" si="6"/>
        <v>#N/A</v>
      </c>
    </row>
    <row r="12" spans="2:17">
      <c r="B12" s="114" t="s">
        <v>330</v>
      </c>
      <c r="C12" s="127" t="s">
        <v>331</v>
      </c>
      <c r="D12" s="135">
        <f>IF('SQA Questionnaire'!N110="","",'SQA Questionnaire'!N110)</f>
        <v>1</v>
      </c>
      <c r="E12" s="137">
        <f t="shared" si="0"/>
        <v>1</v>
      </c>
      <c r="F12" s="228" t="e">
        <f t="shared" si="1"/>
        <v>#N/A</v>
      </c>
      <c r="G12" s="138" t="e">
        <f t="shared" si="2"/>
        <v>#N/A</v>
      </c>
      <c r="H12" s="78" t="e">
        <f t="shared" si="3"/>
        <v>#N/A</v>
      </c>
      <c r="J12" s="114" t="s">
        <v>330</v>
      </c>
      <c r="K12" s="127" t="s">
        <v>331</v>
      </c>
      <c r="L12" s="148">
        <f>IF(COUNTA('SQA Questionnaire'!K89:K109)=0,NA(),COUNTIF('SQA Questionnaire'!K89:K109,"Red"))</f>
        <v>0</v>
      </c>
      <c r="M12" s="229">
        <f>IF(COUNTA('SQA Questionnaire'!K89:K109)=0,NA(),COUNTIF('SQA Questionnaire'!K89:K109,"Yellow"))</f>
        <v>0</v>
      </c>
      <c r="N12" s="149">
        <f>IF(COUNTA('SQA Questionnaire'!K89:K109)=0,NA(),COUNTIF('SQA Questionnaire'!K89:K109,"Green"))</f>
        <v>0</v>
      </c>
      <c r="O12" s="143" t="e">
        <f t="shared" si="4"/>
        <v>#N/A</v>
      </c>
      <c r="P12" s="118" t="e">
        <f t="shared" si="5"/>
        <v>#N/A</v>
      </c>
      <c r="Q12" s="144" t="e">
        <f t="shared" si="6"/>
        <v>#N/A</v>
      </c>
    </row>
    <row r="13" spans="2:17">
      <c r="B13" s="114" t="s">
        <v>128</v>
      </c>
      <c r="C13" s="127" t="s">
        <v>332</v>
      </c>
      <c r="D13" s="135">
        <f>IF('SQA Questionnaire'!N126="","",'SQA Questionnaire'!N126)</f>
        <v>1</v>
      </c>
      <c r="E13" s="137">
        <f t="shared" si="0"/>
        <v>1</v>
      </c>
      <c r="F13" s="228" t="e">
        <f t="shared" si="1"/>
        <v>#N/A</v>
      </c>
      <c r="G13" s="138" t="e">
        <f t="shared" si="2"/>
        <v>#N/A</v>
      </c>
      <c r="H13" s="78" t="e">
        <f t="shared" si="3"/>
        <v>#N/A</v>
      </c>
      <c r="J13" s="114" t="s">
        <v>128</v>
      </c>
      <c r="K13" s="127" t="s">
        <v>332</v>
      </c>
      <c r="L13" s="148">
        <f>IF(COUNTA('SQA Questionnaire'!K115:K125)=0,NA(),COUNTIF('SQA Questionnaire'!K115:K125,"Red"))</f>
        <v>0</v>
      </c>
      <c r="M13" s="229">
        <f>IF(COUNTA('SQA Questionnaire'!K115:K125)=0,NA(),COUNTIF('SQA Questionnaire'!K115:K125,"Yellow"))</f>
        <v>0</v>
      </c>
      <c r="N13" s="149">
        <f>IF(COUNTA('SQA Questionnaire'!K115:K125)=0,NA(),COUNTIF('SQA Questionnaire'!K115:K125,"Green"))</f>
        <v>0</v>
      </c>
      <c r="O13" s="143" t="e">
        <f t="shared" si="4"/>
        <v>#N/A</v>
      </c>
      <c r="P13" s="118" t="e">
        <f t="shared" si="5"/>
        <v>#N/A</v>
      </c>
      <c r="Q13" s="144" t="e">
        <f t="shared" si="6"/>
        <v>#N/A</v>
      </c>
    </row>
    <row r="14" spans="2:17">
      <c r="B14" s="114" t="s">
        <v>136</v>
      </c>
      <c r="C14" s="127" t="s">
        <v>333</v>
      </c>
      <c r="D14" s="135">
        <f>IF('SQA Questionnaire'!N136="","",'SQA Questionnaire'!N136)</f>
        <v>1</v>
      </c>
      <c r="E14" s="137">
        <f t="shared" si="0"/>
        <v>1</v>
      </c>
      <c r="F14" s="228" t="e">
        <f t="shared" si="1"/>
        <v>#N/A</v>
      </c>
      <c r="G14" s="138" t="e">
        <f t="shared" si="2"/>
        <v>#N/A</v>
      </c>
      <c r="H14" s="78" t="e">
        <f t="shared" si="3"/>
        <v>#N/A</v>
      </c>
      <c r="J14" s="114" t="s">
        <v>136</v>
      </c>
      <c r="K14" s="127" t="s">
        <v>333</v>
      </c>
      <c r="L14" s="148">
        <f>IF(COUNTA('SQA Questionnaire'!K132:K135)=0,NA(),COUNTIF('SQA Questionnaire'!K132:K135,"Red"))</f>
        <v>0</v>
      </c>
      <c r="M14" s="229">
        <f>IF(COUNTA('SQA Questionnaire'!K132:K135)=0,NA(),COUNTIF('SQA Questionnaire'!K132:K135,"Yellow"))</f>
        <v>0</v>
      </c>
      <c r="N14" s="149">
        <f>IF(COUNTA('SQA Questionnaire'!K132:K135)=0,NA(),COUNTIF('SQA Questionnaire'!K132:K135,"Green"))</f>
        <v>0</v>
      </c>
      <c r="O14" s="143" t="e">
        <f t="shared" si="4"/>
        <v>#N/A</v>
      </c>
      <c r="P14" s="118" t="e">
        <f t="shared" si="5"/>
        <v>#N/A</v>
      </c>
      <c r="Q14" s="144" t="e">
        <f t="shared" si="6"/>
        <v>#N/A</v>
      </c>
    </row>
    <row r="15" spans="2:17">
      <c r="B15" s="114" t="s">
        <v>143</v>
      </c>
      <c r="C15" s="127" t="s">
        <v>334</v>
      </c>
      <c r="D15" s="135">
        <f>IF('SQA Questionnaire'!N159="","",'SQA Questionnaire'!N159)</f>
        <v>1</v>
      </c>
      <c r="E15" s="137">
        <f t="shared" si="0"/>
        <v>1</v>
      </c>
      <c r="F15" s="228" t="e">
        <f t="shared" si="1"/>
        <v>#N/A</v>
      </c>
      <c r="G15" s="138" t="e">
        <f t="shared" si="2"/>
        <v>#N/A</v>
      </c>
      <c r="H15" s="78" t="e">
        <f t="shared" si="3"/>
        <v>#N/A</v>
      </c>
      <c r="J15" s="114" t="s">
        <v>143</v>
      </c>
      <c r="K15" s="127" t="s">
        <v>334</v>
      </c>
      <c r="L15" s="148">
        <f>IF(COUNTA('SQA Questionnaire'!K140:K150)=0,NA(),COUNTIF('SQA Questionnaire'!K140:K150,"Red"))</f>
        <v>0</v>
      </c>
      <c r="M15" s="229">
        <f>IF(COUNTA('SQA Questionnaire'!K140:K150)=0,NA(),COUNTIF('SQA Questionnaire'!K140:K150,"Yellow"))</f>
        <v>0</v>
      </c>
      <c r="N15" s="149">
        <f>IF(COUNTA('SQA Questionnaire'!K140:K150)=0,NA(),COUNTIF('SQA Questionnaire'!K140:K150,"Green"))</f>
        <v>0</v>
      </c>
      <c r="O15" s="143" t="e">
        <f t="shared" si="4"/>
        <v>#N/A</v>
      </c>
      <c r="P15" s="118" t="e">
        <f t="shared" si="5"/>
        <v>#N/A</v>
      </c>
      <c r="Q15" s="144" t="e">
        <f t="shared" si="6"/>
        <v>#N/A</v>
      </c>
    </row>
    <row r="16" spans="2:17">
      <c r="B16" s="114" t="s">
        <v>154</v>
      </c>
      <c r="C16" s="127" t="s">
        <v>335</v>
      </c>
      <c r="D16" s="135">
        <f>IF('SQA Questionnaire'!N194="","",'SQA Questionnaire'!N194)</f>
        <v>1</v>
      </c>
      <c r="E16" s="137">
        <f t="shared" si="0"/>
        <v>1</v>
      </c>
      <c r="F16" s="228" t="e">
        <f t="shared" si="1"/>
        <v>#N/A</v>
      </c>
      <c r="G16" s="138" t="e">
        <f t="shared" si="2"/>
        <v>#N/A</v>
      </c>
      <c r="H16" s="78" t="e">
        <f t="shared" si="3"/>
        <v>#N/A</v>
      </c>
      <c r="J16" s="114" t="s">
        <v>154</v>
      </c>
      <c r="K16" s="127" t="s">
        <v>335</v>
      </c>
      <c r="L16" s="148">
        <f>IF(COUNTA('SQA Questionnaire'!K164:K193)=0,NA(),COUNTIF('SQA Questionnaire'!K164:K193,"Red"))</f>
        <v>0</v>
      </c>
      <c r="M16" s="229">
        <f>IF(COUNTA('SQA Questionnaire'!K164:K193)=0,NA(),COUNTIF('SQA Questionnaire'!K164:K193,"Yellow"))</f>
        <v>0</v>
      </c>
      <c r="N16" s="149">
        <f>IF(COUNTA('SQA Questionnaire'!K164:K193)=0,NA(),COUNTIF('SQA Questionnaire'!K164:K193,"Green"))</f>
        <v>0</v>
      </c>
      <c r="O16" s="143" t="e">
        <f t="shared" si="4"/>
        <v>#N/A</v>
      </c>
      <c r="P16" s="118" t="e">
        <f t="shared" si="5"/>
        <v>#N/A</v>
      </c>
      <c r="Q16" s="144" t="e">
        <f t="shared" si="6"/>
        <v>#N/A</v>
      </c>
    </row>
    <row r="17" spans="2:17">
      <c r="B17" s="114" t="s">
        <v>170</v>
      </c>
      <c r="C17" s="127" t="s">
        <v>336</v>
      </c>
      <c r="D17" s="135">
        <f>IF('SQA Questionnaire'!N215="","",'SQA Questionnaire'!N215)</f>
        <v>1</v>
      </c>
      <c r="E17" s="137">
        <f t="shared" si="0"/>
        <v>1</v>
      </c>
      <c r="F17" s="228" t="e">
        <f t="shared" si="1"/>
        <v>#N/A</v>
      </c>
      <c r="G17" s="138" t="e">
        <f t="shared" si="2"/>
        <v>#N/A</v>
      </c>
      <c r="H17" s="78" t="e">
        <f t="shared" si="3"/>
        <v>#N/A</v>
      </c>
      <c r="J17" s="114" t="s">
        <v>170</v>
      </c>
      <c r="K17" s="127" t="s">
        <v>336</v>
      </c>
      <c r="L17" s="148">
        <f>IF(COUNTA('SQA Questionnaire'!K199:K214)=0,NA(),COUNTIF('SQA Questionnaire'!K199:K214,"Red"))</f>
        <v>0</v>
      </c>
      <c r="M17" s="229">
        <f>IF(COUNTA('SQA Questionnaire'!K199:K214)=0,NA(),COUNTIF('SQA Questionnaire'!K199:K214,"Yellow"))</f>
        <v>0</v>
      </c>
      <c r="N17" s="149">
        <f>IF(COUNTA('SQA Questionnaire'!K199:K214)=0,NA(),COUNTIF('SQA Questionnaire'!K199:K214,"Green"))</f>
        <v>0</v>
      </c>
      <c r="O17" s="143" t="e">
        <f t="shared" si="4"/>
        <v>#N/A</v>
      </c>
      <c r="P17" s="118" t="e">
        <f t="shared" si="5"/>
        <v>#N/A</v>
      </c>
      <c r="Q17" s="144" t="e">
        <f t="shared" si="6"/>
        <v>#N/A</v>
      </c>
    </row>
    <row r="18" spans="2:17">
      <c r="B18" s="114" t="s">
        <v>179</v>
      </c>
      <c r="C18" s="127" t="s">
        <v>337</v>
      </c>
      <c r="D18" s="135">
        <f>IF('SQA Questionnaire'!N238="","",'SQA Questionnaire'!N238)</f>
        <v>1</v>
      </c>
      <c r="E18" s="137">
        <f t="shared" si="0"/>
        <v>1</v>
      </c>
      <c r="F18" s="228" t="e">
        <f t="shared" si="1"/>
        <v>#N/A</v>
      </c>
      <c r="G18" s="138" t="e">
        <f t="shared" si="2"/>
        <v>#N/A</v>
      </c>
      <c r="H18" s="78" t="e">
        <f t="shared" si="3"/>
        <v>#N/A</v>
      </c>
      <c r="J18" s="114" t="s">
        <v>179</v>
      </c>
      <c r="K18" s="127" t="s">
        <v>337</v>
      </c>
      <c r="L18" s="148">
        <f>IF(COUNTA('SQA Questionnaire'!K220:K237)=0,NA(),COUNTIF('SQA Questionnaire'!K220:K237,"Red"))</f>
        <v>0</v>
      </c>
      <c r="M18" s="229">
        <f>IF(COUNTA('SQA Questionnaire'!K220:K237)=0,NA(),COUNTIF('SQA Questionnaire'!K220:K237,"Yellow"))</f>
        <v>0</v>
      </c>
      <c r="N18" s="149">
        <f>IF(COUNTA('SQA Questionnaire'!K220:K237)=0,NA(),COUNTIF('SQA Questionnaire'!K220:K237,"Green"))</f>
        <v>0</v>
      </c>
      <c r="O18" s="143" t="e">
        <f t="shared" si="4"/>
        <v>#N/A</v>
      </c>
      <c r="P18" s="118" t="e">
        <f t="shared" si="5"/>
        <v>#N/A</v>
      </c>
      <c r="Q18" s="144" t="e">
        <f t="shared" si="6"/>
        <v>#N/A</v>
      </c>
    </row>
    <row r="19" spans="2:17">
      <c r="B19" s="114" t="s">
        <v>191</v>
      </c>
      <c r="C19" s="127" t="s">
        <v>338</v>
      </c>
      <c r="D19" s="135">
        <f>IF('SQA Questionnaire'!N270="","",'SQA Questionnaire'!N270)</f>
        <v>1</v>
      </c>
      <c r="E19" s="137">
        <f t="shared" si="0"/>
        <v>1</v>
      </c>
      <c r="F19" s="228" t="e">
        <f t="shared" si="1"/>
        <v>#N/A</v>
      </c>
      <c r="G19" s="138" t="e">
        <f t="shared" si="2"/>
        <v>#N/A</v>
      </c>
      <c r="H19" s="78" t="e">
        <f t="shared" si="3"/>
        <v>#N/A</v>
      </c>
      <c r="J19" s="114" t="s">
        <v>191</v>
      </c>
      <c r="K19" s="127" t="s">
        <v>338</v>
      </c>
      <c r="L19" s="148">
        <f>IF(COUNTA('SQA Questionnaire'!K242:K269)=0,NA(),COUNTIF('SQA Questionnaire'!K242:K269,"Red"))</f>
        <v>0</v>
      </c>
      <c r="M19" s="229">
        <f>IF(COUNTA('SQA Questionnaire'!K242:K269)=0,NA(),COUNTIF('SQA Questionnaire'!K242:K269,"Yellow"))</f>
        <v>0</v>
      </c>
      <c r="N19" s="149">
        <f>IF(COUNTA('SQA Questionnaire'!K242:K269)=0,NA(),COUNTIF('SQA Questionnaire'!K242:K269,"Green"))</f>
        <v>0</v>
      </c>
      <c r="O19" s="143" t="e">
        <f t="shared" si="4"/>
        <v>#N/A</v>
      </c>
      <c r="P19" s="118" t="e">
        <f t="shared" si="5"/>
        <v>#N/A</v>
      </c>
      <c r="Q19" s="144" t="e">
        <f t="shared" si="6"/>
        <v>#N/A</v>
      </c>
    </row>
    <row r="20" spans="2:17">
      <c r="B20" s="114" t="s">
        <v>210</v>
      </c>
      <c r="C20" s="127" t="s">
        <v>339</v>
      </c>
      <c r="D20" s="135">
        <f>IF('SQA Questionnaire'!N285="","",'SQA Questionnaire'!N285)</f>
        <v>1</v>
      </c>
      <c r="E20" s="137">
        <f t="shared" si="0"/>
        <v>1</v>
      </c>
      <c r="F20" s="228" t="e">
        <f t="shared" si="1"/>
        <v>#N/A</v>
      </c>
      <c r="G20" s="138" t="e">
        <f t="shared" si="2"/>
        <v>#N/A</v>
      </c>
      <c r="H20" s="78" t="e">
        <f t="shared" si="3"/>
        <v>#N/A</v>
      </c>
      <c r="J20" s="114" t="s">
        <v>210</v>
      </c>
      <c r="K20" s="127" t="s">
        <v>339</v>
      </c>
      <c r="L20" s="148">
        <f>IF(COUNTA('SQA Questionnaire'!K274:K284)=0,NA(),COUNTIF('SQA Questionnaire'!K274:K284,"Red"))</f>
        <v>0</v>
      </c>
      <c r="M20" s="229">
        <f>IF(COUNTA('SQA Questionnaire'!K274:K284)=0,NA(),COUNTIF('SQA Questionnaire'!K274:K284,"Yellow"))</f>
        <v>0</v>
      </c>
      <c r="N20" s="149">
        <f>IF(COUNTA('SQA Questionnaire'!K274:K284)=0,NA(),COUNTIF('SQA Questionnaire'!K274:K284,"Green"))</f>
        <v>0</v>
      </c>
      <c r="O20" s="143" t="e">
        <f t="shared" si="4"/>
        <v>#N/A</v>
      </c>
      <c r="P20" s="118" t="e">
        <f t="shared" si="5"/>
        <v>#N/A</v>
      </c>
      <c r="Q20" s="144" t="e">
        <f t="shared" si="6"/>
        <v>#N/A</v>
      </c>
    </row>
    <row r="21" spans="2:17">
      <c r="B21" s="114" t="s">
        <v>217</v>
      </c>
      <c r="C21" s="127" t="s">
        <v>340</v>
      </c>
      <c r="D21" s="135">
        <f>IF('SQA Questionnaire'!N306="","",'SQA Questionnaire'!N306)</f>
        <v>1</v>
      </c>
      <c r="E21" s="137">
        <f t="shared" si="0"/>
        <v>1</v>
      </c>
      <c r="F21" s="228" t="e">
        <f t="shared" si="1"/>
        <v>#N/A</v>
      </c>
      <c r="G21" s="138" t="e">
        <f t="shared" si="2"/>
        <v>#N/A</v>
      </c>
      <c r="H21" s="78" t="e">
        <f t="shared" si="3"/>
        <v>#N/A</v>
      </c>
      <c r="J21" s="114" t="s">
        <v>217</v>
      </c>
      <c r="K21" s="127" t="s">
        <v>340</v>
      </c>
      <c r="L21" s="148">
        <f>IF(COUNTA('SQA Questionnaire'!K289:K305)=0,NA(),COUNTIF('SQA Questionnaire'!K289:K305,"Red"))</f>
        <v>0</v>
      </c>
      <c r="M21" s="229">
        <f>IF(COUNTA('SQA Questionnaire'!K289:K305)=0,NA(),COUNTIF('SQA Questionnaire'!K289:K305,"Yellow"))</f>
        <v>0</v>
      </c>
      <c r="N21" s="149">
        <f>IF(COUNTA('SQA Questionnaire'!K289:K305)=0,NA(),COUNTIF('SQA Questionnaire'!K289:K305,"Green"))</f>
        <v>0</v>
      </c>
      <c r="O21" s="143" t="e">
        <f t="shared" si="4"/>
        <v>#N/A</v>
      </c>
      <c r="P21" s="118" t="e">
        <f t="shared" si="5"/>
        <v>#N/A</v>
      </c>
      <c r="Q21" s="144" t="e">
        <f t="shared" si="6"/>
        <v>#N/A</v>
      </c>
    </row>
    <row r="22" spans="2:17">
      <c r="B22" s="114" t="s">
        <v>234</v>
      </c>
      <c r="C22" s="127" t="s">
        <v>341</v>
      </c>
      <c r="D22" s="135">
        <f>IF('SQA Questionnaire'!N319="","",'SQA Questionnaire'!N319)</f>
        <v>1</v>
      </c>
      <c r="E22" s="137">
        <f t="shared" si="0"/>
        <v>1</v>
      </c>
      <c r="F22" s="228" t="e">
        <f t="shared" si="1"/>
        <v>#N/A</v>
      </c>
      <c r="G22" s="138" t="e">
        <f t="shared" si="2"/>
        <v>#N/A</v>
      </c>
      <c r="H22" s="78" t="e">
        <f t="shared" si="3"/>
        <v>#N/A</v>
      </c>
      <c r="J22" s="114" t="s">
        <v>234</v>
      </c>
      <c r="K22" s="127" t="s">
        <v>341</v>
      </c>
      <c r="L22" s="148">
        <f>IF(COUNTA('SQA Questionnaire'!K310:K316)=0,NA(),COUNTIF('SQA Questionnaire'!K310:K316,"Red"))</f>
        <v>0</v>
      </c>
      <c r="M22" s="229">
        <f>IF(COUNTA('SQA Questionnaire'!K310:K316)=0,NA(),COUNTIF('SQA Questionnaire'!K310:K316,"Yellow"))</f>
        <v>0</v>
      </c>
      <c r="N22" s="149">
        <f>IF(COUNTA('SQA Questionnaire'!K310:K316)=0,NA(),COUNTIF('SQA Questionnaire'!K310:K316,"Green"))</f>
        <v>0</v>
      </c>
      <c r="O22" s="143" t="e">
        <f t="shared" si="4"/>
        <v>#N/A</v>
      </c>
      <c r="P22" s="118" t="e">
        <f t="shared" si="5"/>
        <v>#N/A</v>
      </c>
      <c r="Q22" s="144" t="e">
        <f t="shared" si="6"/>
        <v>#N/A</v>
      </c>
    </row>
    <row r="23" spans="2:17">
      <c r="B23" s="114" t="s">
        <v>245</v>
      </c>
      <c r="C23" s="127" t="s">
        <v>342</v>
      </c>
      <c r="D23" s="135">
        <f>IF('SQA Questionnaire'!N334="","",'SQA Questionnaire'!N334)</f>
        <v>1</v>
      </c>
      <c r="E23" s="137">
        <f t="shared" si="0"/>
        <v>1</v>
      </c>
      <c r="F23" s="228" t="e">
        <f t="shared" si="1"/>
        <v>#N/A</v>
      </c>
      <c r="G23" s="138" t="e">
        <f t="shared" si="2"/>
        <v>#N/A</v>
      </c>
      <c r="H23" s="78" t="e">
        <f t="shared" si="3"/>
        <v>#N/A</v>
      </c>
      <c r="J23" s="114" t="s">
        <v>245</v>
      </c>
      <c r="K23" s="127" t="s">
        <v>342</v>
      </c>
      <c r="L23" s="148">
        <f>IF(COUNTA('SQA Questionnaire'!K323:K333)=0,NA(),COUNTIF('SQA Questionnaire'!K323:K333,"Red"))</f>
        <v>0</v>
      </c>
      <c r="M23" s="229">
        <f>IF(COUNTA('SQA Questionnaire'!K323:K333)=0,NA(),COUNTIF('SQA Questionnaire'!K323:K333,"Yellow"))</f>
        <v>0</v>
      </c>
      <c r="N23" s="149">
        <f>IF(COUNTA('SQA Questionnaire'!K323:K333)=0,NA(),COUNTIF('SQA Questionnaire'!K323:K333,"Green"))</f>
        <v>0</v>
      </c>
      <c r="O23" s="143" t="e">
        <f t="shared" si="4"/>
        <v>#N/A</v>
      </c>
      <c r="P23" s="118" t="e">
        <f t="shared" si="5"/>
        <v>#N/A</v>
      </c>
      <c r="Q23" s="144" t="e">
        <f t="shared" si="6"/>
        <v>#N/A</v>
      </c>
    </row>
    <row r="24" spans="2:17">
      <c r="B24" s="114" t="s">
        <v>252</v>
      </c>
      <c r="C24" s="127" t="s">
        <v>343</v>
      </c>
      <c r="D24" s="135">
        <f>IF('SQA Questionnaire'!N347="","",'SQA Questionnaire'!N347)</f>
        <v>1</v>
      </c>
      <c r="E24" s="137">
        <f t="shared" ref="E24:E26" si="7">IF(AND(D24&lt;&gt;"",D24=1),1,NA())</f>
        <v>1</v>
      </c>
      <c r="F24" s="228" t="e">
        <f t="shared" ref="F24:F26" si="8">IF(AND(D24&lt;&gt;"",D24=2),2,NA())</f>
        <v>#N/A</v>
      </c>
      <c r="G24" s="138" t="e">
        <f t="shared" ref="G24:G26" si="9">IF(AND(D24&lt;&gt;"",D24=3),3,NA())</f>
        <v>#N/A</v>
      </c>
      <c r="H24" s="78" t="e">
        <f t="shared" ref="H24:H26" si="10">IF(AND(D24&lt;&gt;"",D24=0),4,NA())</f>
        <v>#N/A</v>
      </c>
      <c r="J24" s="114" t="s">
        <v>252</v>
      </c>
      <c r="K24" s="127" t="s">
        <v>343</v>
      </c>
      <c r="L24" s="148">
        <f>IF(COUNTA('SQA Questionnaire'!K338:K346)=0,NA(),COUNTIF('SQA Questionnaire'!K338:K346,"Red"))</f>
        <v>0</v>
      </c>
      <c r="M24" s="229">
        <f>IF(COUNTA('SQA Questionnaire'!K338:K346)=0,NA(),COUNTIF('SQA Questionnaire'!K338:K346,"Yellow"))</f>
        <v>0</v>
      </c>
      <c r="N24" s="149">
        <f>IF(COUNTA('SQA Questionnaire'!K338:K346)=0,NA(),COUNTIF('SQA Questionnaire'!K338:K346,"Green"))</f>
        <v>0</v>
      </c>
      <c r="O24" s="143" t="e">
        <f t="shared" ref="O24:O25" si="11">IF(IFERROR(L24/SUM(L24:N24),NA())=0,NA(),IFERROR(L24/SUM(L24:N24),NA()))</f>
        <v>#N/A</v>
      </c>
      <c r="P24" s="118" t="e">
        <f t="shared" ref="P24:P25" si="12">IF(IFERROR(M24/SUM(L24:N24),NA())=0,NA(),IFERROR(M24/SUM(L24:N24),NA()))</f>
        <v>#N/A</v>
      </c>
      <c r="Q24" s="144" t="e">
        <f t="shared" ref="Q24:Q25" si="13">IF(IFERROR(N24/SUM(L24:N24),NA())=0,NA(),IFERROR(N24/SUM(L24:N24),NA()))</f>
        <v>#N/A</v>
      </c>
    </row>
    <row r="25" spans="2:17">
      <c r="B25" s="114" t="s">
        <v>266</v>
      </c>
      <c r="C25" s="127" t="s">
        <v>344</v>
      </c>
      <c r="D25" s="135">
        <f>IF('SQA Questionnaire'!N355="","",'SQA Questionnaire'!N355)</f>
        <v>1</v>
      </c>
      <c r="E25" s="137">
        <f t="shared" si="7"/>
        <v>1</v>
      </c>
      <c r="F25" s="228" t="e">
        <f t="shared" si="8"/>
        <v>#N/A</v>
      </c>
      <c r="G25" s="138" t="e">
        <f t="shared" si="9"/>
        <v>#N/A</v>
      </c>
      <c r="H25" s="78" t="e">
        <f t="shared" si="10"/>
        <v>#N/A</v>
      </c>
      <c r="J25" s="114" t="s">
        <v>266</v>
      </c>
      <c r="K25" s="127" t="s">
        <v>344</v>
      </c>
      <c r="L25" s="148">
        <f>IF(COUNTA('SQA Questionnaire'!K354)=0,NA(),COUNTIF('SQA Questionnaire'!K354,"Red"))</f>
        <v>0</v>
      </c>
      <c r="M25" s="229">
        <f>IF(COUNTA('SQA Questionnaire'!K354)=0,NA(),COUNTIF('SQA Questionnaire'!K354,"Yellow"))</f>
        <v>0</v>
      </c>
      <c r="N25" s="149">
        <f>IF(COUNTA('SQA Questionnaire'!K354)=0,NA(),COUNTIF('SQA Questionnaire'!K354,"Green"))</f>
        <v>0</v>
      </c>
      <c r="O25" s="143" t="e">
        <f t="shared" si="11"/>
        <v>#N/A</v>
      </c>
      <c r="P25" s="118" t="e">
        <f t="shared" si="12"/>
        <v>#N/A</v>
      </c>
      <c r="Q25" s="144" t="e">
        <f t="shared" si="13"/>
        <v>#N/A</v>
      </c>
    </row>
    <row r="26" spans="2:17">
      <c r="B26" s="114" t="s">
        <v>274</v>
      </c>
      <c r="C26" s="127" t="s">
        <v>345</v>
      </c>
      <c r="D26" s="135">
        <f>IF('SQA Questionnaire'!N364="","",'SQA Questionnaire'!N364)</f>
        <v>1</v>
      </c>
      <c r="E26" s="137">
        <f t="shared" si="7"/>
        <v>1</v>
      </c>
      <c r="F26" s="228" t="e">
        <f t="shared" si="8"/>
        <v>#N/A</v>
      </c>
      <c r="G26" s="138" t="e">
        <f t="shared" si="9"/>
        <v>#N/A</v>
      </c>
      <c r="H26" s="78" t="e">
        <f t="shared" si="10"/>
        <v>#N/A</v>
      </c>
      <c r="J26" s="114" t="s">
        <v>274</v>
      </c>
      <c r="K26" s="127" t="s">
        <v>345</v>
      </c>
      <c r="L26" s="148">
        <f>IF(COUNTA('SQA Questionnaire'!K359:K363)=0,NA(),COUNTIF('SQA Questionnaire'!K359:K363,"Red"))</f>
        <v>0</v>
      </c>
      <c r="M26" s="229">
        <f>IF(COUNTA('SQA Questionnaire'!K359:K363)=0,NA(),COUNTIF('SQA Questionnaire'!K359:K363,"Yellow"))</f>
        <v>0</v>
      </c>
      <c r="N26" s="149">
        <f>IF(COUNTA('SQA Questionnaire'!K359:K363)=0,NA(),COUNTIF('SQA Questionnaire'!K359:K363,"Green"))</f>
        <v>0</v>
      </c>
      <c r="O26" s="143" t="e">
        <f t="shared" ref="O26" si="14">IF(IFERROR(L26/SUM(L26:N26),NA())=0,NA(),IFERROR(L26/SUM(L26:N26),NA()))</f>
        <v>#N/A</v>
      </c>
      <c r="P26" s="118" t="e">
        <f t="shared" ref="P26" si="15">IF(IFERROR(M26/SUM(L26:N26),NA())=0,NA(),IFERROR(M26/SUM(L26:N26),NA()))</f>
        <v>#N/A</v>
      </c>
      <c r="Q26" s="144" t="e">
        <f t="shared" ref="Q26" si="16">IF(IFERROR(N26/SUM(L26:N26),NA())=0,NA(),IFERROR(N26/SUM(L26:N26),NA()))</f>
        <v>#N/A</v>
      </c>
    </row>
    <row r="27" spans="2:17">
      <c r="B27" s="114" t="s">
        <v>282</v>
      </c>
      <c r="C27" s="127" t="s">
        <v>346</v>
      </c>
      <c r="D27" s="135">
        <f>IF('SQA Questionnaire'!N376="","",'SQA Questionnaire'!N376)</f>
        <v>1</v>
      </c>
      <c r="E27" s="137">
        <f t="shared" si="0"/>
        <v>1</v>
      </c>
      <c r="F27" s="228" t="e">
        <f t="shared" si="1"/>
        <v>#N/A</v>
      </c>
      <c r="G27" s="138" t="e">
        <f t="shared" si="2"/>
        <v>#N/A</v>
      </c>
      <c r="H27" s="78" t="e">
        <f t="shared" si="3"/>
        <v>#N/A</v>
      </c>
      <c r="J27" s="114" t="s">
        <v>282</v>
      </c>
      <c r="K27" s="127" t="s">
        <v>346</v>
      </c>
      <c r="L27" s="148">
        <f>IF(COUNTA('SQA Questionnaire'!K370:K375)=0,NA(),COUNTIF('SQA Questionnaire'!K370:K375,"Red"))</f>
        <v>0</v>
      </c>
      <c r="M27" s="229">
        <f>IF(COUNTA('SQA Questionnaire'!K370:K375)=0,NA(),COUNTIF('SQA Questionnaire'!K370:K375,"Yellow"))</f>
        <v>0</v>
      </c>
      <c r="N27" s="149">
        <f>IF(COUNTA('SQA Questionnaire'!K370:K375)=0,NA(),COUNTIF('SQA Questionnaire'!K370:K375,"Green"))</f>
        <v>0</v>
      </c>
      <c r="O27" s="143" t="e">
        <f t="shared" si="4"/>
        <v>#N/A</v>
      </c>
      <c r="P27" s="118" t="e">
        <f t="shared" si="5"/>
        <v>#N/A</v>
      </c>
      <c r="Q27" s="144" t="e">
        <f t="shared" si="6"/>
        <v>#N/A</v>
      </c>
    </row>
    <row r="28" spans="2:17" ht="16.5" thickBot="1">
      <c r="B28" s="131" t="s">
        <v>298</v>
      </c>
      <c r="C28" s="128" t="s">
        <v>347</v>
      </c>
      <c r="D28" s="136">
        <f>IF('SQA Questionnaire'!N391="","",'SQA Questionnaire'!N391)</f>
        <v>1</v>
      </c>
      <c r="E28" s="139">
        <f t="shared" si="0"/>
        <v>1</v>
      </c>
      <c r="F28" s="140" t="e">
        <f t="shared" si="1"/>
        <v>#N/A</v>
      </c>
      <c r="G28" s="141" t="e">
        <f t="shared" si="2"/>
        <v>#N/A</v>
      </c>
      <c r="H28" s="142" t="e">
        <f t="shared" si="3"/>
        <v>#N/A</v>
      </c>
      <c r="J28" s="131" t="s">
        <v>298</v>
      </c>
      <c r="K28" s="128" t="s">
        <v>347</v>
      </c>
      <c r="L28" s="150">
        <f>IF(COUNTA('SQA Questionnaire'!K380:K390)=0,NA(),COUNTIF('SQA Questionnaire'!K380:K390,"Red"))</f>
        <v>0</v>
      </c>
      <c r="M28" s="151">
        <f>IF(COUNTA('SQA Questionnaire'!K380:K390)=0,NA(),COUNTIF('SQA Questionnaire'!K380:K390,"Yellow"))</f>
        <v>0</v>
      </c>
      <c r="N28" s="152">
        <f>IF(COUNTA('SQA Questionnaire'!K380:K390)=0,NA(),COUNTIF('SQA Questionnaire'!K380:K390,"Green"))</f>
        <v>0</v>
      </c>
      <c r="O28" s="145" t="e">
        <f t="shared" si="4"/>
        <v>#N/A</v>
      </c>
      <c r="P28" s="146" t="e">
        <f t="shared" si="5"/>
        <v>#N/A</v>
      </c>
      <c r="Q28" s="147" t="e">
        <f t="shared" si="6"/>
        <v>#N/A</v>
      </c>
    </row>
    <row r="31" spans="2:17">
      <c r="K31" s="154"/>
      <c r="L31" s="154"/>
      <c r="M31" s="154"/>
      <c r="O31" s="154"/>
    </row>
    <row r="32" spans="2:17">
      <c r="O32" s="153"/>
    </row>
  </sheetData>
  <sheetProtection selectLockedCells="1" selectUnlockedCells="1"/>
  <mergeCells count="1">
    <mergeCell ref="B2:Q2"/>
  </mergeCells>
  <phoneticPr fontId="1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8D9EB-7C34-49CD-9DBF-4BFC54F5F705}">
  <sheetPr>
    <tabColor theme="8" tint="-0.499984740745262"/>
  </sheetPr>
  <dimension ref="B1:Q22"/>
  <sheetViews>
    <sheetView showGridLines="0" showRowColHeaders="0" zoomScale="60" zoomScaleNormal="60" workbookViewId="0">
      <pane ySplit="3" topLeftCell="A4" activePane="bottomLeft" state="frozen"/>
      <selection pane="bottomLeft" activeCell="B16" sqref="B16"/>
    </sheetView>
  </sheetViews>
  <sheetFormatPr defaultColWidth="8.625" defaultRowHeight="15.75"/>
  <cols>
    <col min="1" max="1" width="8.625" style="109"/>
    <col min="2" max="2" width="57" style="109" bestFit="1" customWidth="1"/>
    <col min="3" max="3" width="9.5" style="109" bestFit="1" customWidth="1"/>
    <col min="4" max="5" width="8.625" style="109"/>
    <col min="6" max="6" width="8.625" style="109" customWidth="1"/>
    <col min="7" max="16384" width="8.625" style="109"/>
  </cols>
  <sheetData>
    <row r="1" spans="2:17" ht="16.5" thickBot="1"/>
    <row r="2" spans="2:17" ht="16.5" thickBot="1">
      <c r="B2" s="589" t="s">
        <v>348</v>
      </c>
      <c r="C2" s="590"/>
      <c r="D2" s="590"/>
      <c r="E2" s="590"/>
      <c r="F2" s="590"/>
      <c r="G2" s="590"/>
      <c r="H2" s="590"/>
      <c r="I2" s="590"/>
      <c r="J2" s="590"/>
      <c r="K2" s="590"/>
      <c r="L2" s="590"/>
      <c r="M2" s="590"/>
      <c r="N2" s="590"/>
      <c r="O2" s="590"/>
      <c r="P2" s="590"/>
      <c r="Q2" s="591"/>
    </row>
    <row r="4" spans="2:17" ht="16.5" thickBot="1"/>
    <row r="5" spans="2:17" ht="16.5" thickBot="1">
      <c r="B5" s="129" t="s">
        <v>349</v>
      </c>
      <c r="C5" s="110" t="s">
        <v>350</v>
      </c>
      <c r="D5" s="111" t="s">
        <v>351</v>
      </c>
    </row>
    <row r="6" spans="2:17">
      <c r="B6" s="112" t="s">
        <v>352</v>
      </c>
      <c r="C6" s="132">
        <v>24</v>
      </c>
      <c r="D6" s="113"/>
    </row>
    <row r="7" spans="2:17">
      <c r="B7" s="119" t="s">
        <v>353</v>
      </c>
      <c r="C7" s="133">
        <f ca="1">IF(OR(C6="",C8=""),"",C6-C8)</f>
        <v>0</v>
      </c>
      <c r="D7" s="115">
        <f ca="1">IF(OR(C6="",C7=""),"",C7/C6)</f>
        <v>0</v>
      </c>
    </row>
    <row r="8" spans="2:17">
      <c r="B8" s="123" t="s">
        <v>354</v>
      </c>
      <c r="C8" s="133">
        <f ca="1">IF(SUM(COUNTIF('SQA Questionnaire'!I8:'SQA Questionnaire'!I391,"Meets Standard"),COUNTIF('SQA Questionnaire'!I8:'SQA Questionnaire'!I391,"Needs Improvement"),COUNTIF('SQA Questionnaire'!I8:'SQA Questionnaire'!I391,"Needs Urgent Remediation"))=0,"",SUM(COUNTIF('SQA Questionnaire'!I8:'SQA Questionnaire'!I391,"Meets Standard"),COUNTIF('SQA Questionnaire'!I8:'SQA Questionnaire'!I391,"Needs Improvement"),COUNTIF('SQA Questionnaire'!I8:'SQA Questionnaire'!I391,"Needs Urgent Remediation")))</f>
        <v>24</v>
      </c>
      <c r="D8" s="115">
        <f ca="1">IF(OR(C6="",C8=""),"",C8/C6)</f>
        <v>1</v>
      </c>
    </row>
    <row r="9" spans="2:17">
      <c r="B9" s="120" t="s">
        <v>355</v>
      </c>
      <c r="C9" s="133">
        <f ca="1">IF(SUM(COUNTIF('SQA Questionnaire'!I8:'SQA Questionnaire'!I391,"Meets Standard"),COUNTIF('SQA Questionnaire'!I8:'SQA Questionnaire'!I391,"Needs Improvement"),COUNTIF('SQA Questionnaire'!I8:'SQA Questionnaire'!I391,"Needs Urgent Remediation"))=0,"",COUNTIF('SQA Questionnaire'!I8:'SQA Questionnaire'!I391,"Meets Standard"))</f>
        <v>0</v>
      </c>
      <c r="D9" s="115">
        <f ca="1">IF(OR(C8="",C9=""),"",C9/C8)</f>
        <v>0</v>
      </c>
    </row>
    <row r="10" spans="2:17">
      <c r="B10" s="121" t="s">
        <v>356</v>
      </c>
      <c r="C10" s="133">
        <f ca="1">IF(SUM(COUNTIF('SQA Questionnaire'!I8:'SQA Questionnaire'!I391,"Meets Standard"),COUNTIF('SQA Questionnaire'!I8:'SQA Questionnaire'!I391,"Needs Improvement"),COUNTIF('SQA Questionnaire'!I8:'SQA Questionnaire'!I391,"Needs Urgent Remediation"))=0,"",COUNTIF('SQA Questionnaire'!I8:'SQA Questionnaire'!I391,"Needs Improvement"))</f>
        <v>0</v>
      </c>
      <c r="D10" s="115">
        <f ca="1">IF(OR(C8="",C10=""),"",C10/C8)</f>
        <v>0</v>
      </c>
    </row>
    <row r="11" spans="2:17" ht="16.5" thickBot="1">
      <c r="B11" s="122" t="s">
        <v>357</v>
      </c>
      <c r="C11" s="134">
        <f ca="1">IF(SUM(COUNTIF('SQA Questionnaire'!I8:'SQA Questionnaire'!I391,"Meets Standard"),COUNTIF('SQA Questionnaire'!I8:'SQA Questionnaire'!I391,"Needs Improvement"),COUNTIF('SQA Questionnaire'!I8:'SQA Questionnaire'!I391,"Needs Urgent Remediation"))=0,"",COUNTIF('SQA Questionnaire'!I8:'SQA Questionnaire'!I391,"Needs Urgent Remediation"))</f>
        <v>24</v>
      </c>
      <c r="D11" s="116">
        <f ca="1">IF(OR(C8="",C11=""),"",C11/C8)</f>
        <v>1</v>
      </c>
    </row>
    <row r="12" spans="2:17" ht="14.85" customHeight="1">
      <c r="F12" s="117"/>
    </row>
    <row r="13" spans="2:17" ht="16.5" thickBot="1">
      <c r="F13" s="117"/>
    </row>
    <row r="14" spans="2:17" ht="16.5" thickBot="1">
      <c r="B14" s="129" t="s">
        <v>358</v>
      </c>
      <c r="C14" s="110" t="s">
        <v>350</v>
      </c>
      <c r="D14" s="111" t="s">
        <v>351</v>
      </c>
    </row>
    <row r="15" spans="2:17">
      <c r="B15" s="112" t="s">
        <v>359</v>
      </c>
      <c r="C15" s="132">
        <v>179</v>
      </c>
      <c r="D15" s="113"/>
    </row>
    <row r="16" spans="2:17">
      <c r="B16" s="123" t="s">
        <v>360</v>
      </c>
      <c r="C16" s="133">
        <f>IF(COUNTA('SQA Questionnaire'!K5:K390)=0,"",SUM(COUNTIF('SQA Questionnaire'!K5:K390,"Red"),COUNTIF('SQA Questionnaire'!K5:K390,"Yellow"),COUNTIF('SQA Questionnaire'!K5:K390,"Green")))</f>
        <v>0</v>
      </c>
      <c r="D16" s="115">
        <f>IF(OR(C15="",C16=""),"",C16/C15)</f>
        <v>0</v>
      </c>
    </row>
    <row r="17" spans="2:4">
      <c r="B17" s="120" t="s">
        <v>361</v>
      </c>
      <c r="C17" s="133">
        <f ca="1">IF(COUNTA('SQA Questionnaire'!K5:K390)=0,"",COUNTIF('SQA Questionnaire'!K5:'SQA Questionnaire'!K390,"Green"))</f>
        <v>0</v>
      </c>
      <c r="D17" s="115" t="e">
        <f ca="1">IF(OR(C16="",C17=""),"",C17/C16)</f>
        <v>#DIV/0!</v>
      </c>
    </row>
    <row r="18" spans="2:4">
      <c r="B18" s="121" t="s">
        <v>362</v>
      </c>
      <c r="C18" s="133">
        <f ca="1">IF(COUNTA('SQA Questionnaire'!K5:K390)=0,"",COUNTIF('SQA Questionnaire'!K5:'SQA Questionnaire'!K390,"Yellow"))</f>
        <v>0</v>
      </c>
      <c r="D18" s="115" t="e">
        <f ca="1">IF(OR(C16="",C18=""),"",C18/C16)</f>
        <v>#DIV/0!</v>
      </c>
    </row>
    <row r="19" spans="2:4" ht="16.5" thickBot="1">
      <c r="B19" s="122" t="s">
        <v>363</v>
      </c>
      <c r="C19" s="134">
        <f ca="1">IF(COUNTA('SQA Questionnaire'!K5:K390)=0,"",COUNTIF('SQA Questionnaire'!K5:'SQA Questionnaire'!K390,"Red"))</f>
        <v>0</v>
      </c>
      <c r="D19" s="116" t="e">
        <f ca="1">IF(OR(C16="",C19=""),"",C19/C16)</f>
        <v>#DIV/0!</v>
      </c>
    </row>
    <row r="21" spans="2:4" ht="16.5" thickBot="1"/>
    <row r="22" spans="2:4" ht="16.5" thickBot="1">
      <c r="B22" s="176" t="s">
        <v>364</v>
      </c>
      <c r="C22" s="592">
        <f ca="1">IF(C8="","",IF(SUM(C9*3,C10*2,C11*1)/(C8*3)&lt;50%,1,IF(AND(SUM(C9*3,C10*2,C11*1)/(C8*3)&gt;50%,SUM(C9*3,C10*2,C11*1)/(C8*3)&lt;75%),2,IF(SUM(C9*3,C10*2,C11*1)/(C8*3)&gt;=75%,3,""))))</f>
        <v>1</v>
      </c>
      <c r="D22" s="593"/>
    </row>
  </sheetData>
  <mergeCells count="2">
    <mergeCell ref="B2:Q2"/>
    <mergeCell ref="C22:D22"/>
  </mergeCells>
  <conditionalFormatting sqref="C22:D22">
    <cfRule type="cellIs" dxfId="2" priority="1" operator="equal">
      <formula>3</formula>
    </cfRule>
    <cfRule type="cellIs" dxfId="1" priority="2" operator="equal">
      <formula>2</formula>
    </cfRule>
    <cfRule type="cellIs" dxfId="0" priority="3" operator="equal">
      <formula>1</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eyEntities xmlns="264440c9-7b8c-4af8-95ca-ba2abb485d1a" xsi:nil="true"/>
    <FavoriteUsers xmlns="264440c9-7b8c-4af8-95ca-ba2abb485d1a" xsi:nil="true"/>
    <TaxCatchAll xmlns="264440c9-7b8c-4af8-95ca-ba2abb485d1a" xsi:nil="true"/>
    <i9f2da93fcc74e869d070fd34a0597c4 xmlns="264440c9-7b8c-4af8-95ca-ba2abb485d1a">
      <Terms xmlns="http://schemas.microsoft.com/office/infopath/2007/PartnerControls"/>
    </i9f2da93fcc74e869d070fd34a0597c4>
    <cc92bdb0fa944447acf309642a11bf0d xmlns="264440c9-7b8c-4af8-95ca-ba2abb485d1a">
      <Terms xmlns="http://schemas.microsoft.com/office/infopath/2007/PartnerControls"/>
    </cc92bdb0fa944447acf309642a11bf0d>
    <lcf76f155ced4ddcb4097134ff3c332f xmlns="440186f3-efbf-47f8-9b2f-099ee5b0127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NGOOnlineDocument" ma:contentTypeID="0x010100E87BF1D48505D84EB0D589F252D1AFB200D627E0FEC4140D4E8DE54C47B7C8B9C8" ma:contentTypeVersion="22" ma:contentTypeDescription="NGO Document content type" ma:contentTypeScope="" ma:versionID="de6f4f4e58a77fe15e7aeaa5e4b860e2">
  <xsd:schema xmlns:xsd="http://www.w3.org/2001/XMLSchema" xmlns:xs="http://www.w3.org/2001/XMLSchema" xmlns:p="http://schemas.microsoft.com/office/2006/metadata/properties" xmlns:ns2="264440c9-7b8c-4af8-95ca-ba2abb485d1a" xmlns:ns3="440186f3-efbf-47f8-9b2f-099ee5b0127d" targetNamespace="http://schemas.microsoft.com/office/2006/metadata/properties" ma:root="true" ma:fieldsID="ffe98048f9eb5382fa5f65f0764fed05" ns2:_="" ns3:_="">
    <xsd:import namespace="264440c9-7b8c-4af8-95ca-ba2abb485d1a"/>
    <xsd:import namespace="440186f3-efbf-47f8-9b2f-099ee5b0127d"/>
    <xsd:element name="properties">
      <xsd:complexType>
        <xsd:sequence>
          <xsd:element name="documentManagement">
            <xsd:complexType>
              <xsd:all>
                <xsd:element ref="ns2:FavoriteUsers" minOccurs="0"/>
                <xsd:element ref="ns2:KeyEntities" minOccurs="0"/>
                <xsd:element ref="ns2:TaxCatchAll" minOccurs="0"/>
                <xsd:element ref="ns2:i9f2da93fcc74e869d070fd34a0597c4" minOccurs="0"/>
                <xsd:element ref="ns2:TaxCatchAllLabel" minOccurs="0"/>
                <xsd:element ref="ns2:cc92bdb0fa944447acf309642a11bf0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BillingMetadata"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440c9-7b8c-4af8-95ca-ba2abb485d1a" elementFormDefault="qualified">
    <xsd:import namespace="http://schemas.microsoft.com/office/2006/documentManagement/types"/>
    <xsd:import namespace="http://schemas.microsoft.com/office/infopath/2007/PartnerControls"/>
    <xsd:element name="FavoriteUsers" ma:index="8" nillable="true" ma:displayName="F" ma:description="Store all users who mark this document as favorite" ma:internalName="FavoriteUsers" ma:readOnly="false">
      <xsd:simpleType>
        <xsd:restriction base="dms:Text"/>
      </xsd:simpleType>
    </xsd:element>
    <xsd:element name="KeyEntities" ma:index="9" nillable="true" ma:displayName="K" ma:description="Store all entities which this document as a key" ma:internalName="KeyEntities" ma:readOnly="false">
      <xsd:simpleType>
        <xsd:restriction base="dms:Text"/>
      </xsd:simpleType>
    </xsd:element>
    <xsd:element name="TaxCatchAll" ma:index="10" nillable="true" ma:displayName="Taxonomy Catch All Column" ma:hidden="true" ma:list="{6a85807d-4faa-4bb6-a909-4fc62e55d43f}" ma:internalName="TaxCatchAll" ma:readOnly="false" ma:showField="CatchAllData" ma:web="264440c9-7b8c-4af8-95ca-ba2abb485d1a">
      <xsd:complexType>
        <xsd:complexContent>
          <xsd:extension base="dms:MultiChoiceLookup">
            <xsd:sequence>
              <xsd:element name="Value" type="dms:Lookup" maxOccurs="unbounded" minOccurs="0" nillable="true"/>
            </xsd:sequence>
          </xsd:extension>
        </xsd:complexContent>
      </xsd:complexType>
    </xsd:element>
    <xsd:element name="i9f2da93fcc74e869d070fd34a0597c4" ma:index="13" nillable="true" ma:taxonomy="true" ma:internalName="i9f2da93fcc74e869d070fd34a0597c4" ma:taxonomyFieldName="NGOOnlineDocumentType" ma:displayName="Document types" ma:readOnly="false" ma:fieldId="{29f2da93-fcc7-4e86-9d07-0fd34a0597c4}" ma:taxonomyMulti="true" ma:sspId="e492bf4d-7d24-4a02-9dd7-4d67ddc3dcfb" ma:termSetId="ab881ecd-e3fb-4592-9594-ea70170c21a9" ma:anchorId="00000000-0000-0000-0000-000000000000" ma:open="false" ma:isKeyword="false">
      <xsd:complexType>
        <xsd:sequence>
          <xsd:element ref="pc:Terms" minOccurs="0" maxOccurs="1"/>
        </xsd:sequence>
      </xsd:complexType>
    </xsd:element>
    <xsd:element name="TaxCatchAllLabel" ma:index="14" nillable="true" ma:displayName="Taxonomy Catch All Column1" ma:hidden="true" ma:list="{6a85807d-4faa-4bb6-a909-4fc62e55d43f}" ma:internalName="TaxCatchAllLabel" ma:readOnly="true" ma:showField="CatchAllDataLabel" ma:web="264440c9-7b8c-4af8-95ca-ba2abb485d1a">
      <xsd:complexType>
        <xsd:complexContent>
          <xsd:extension base="dms:MultiChoiceLookup">
            <xsd:sequence>
              <xsd:element name="Value" type="dms:Lookup" maxOccurs="unbounded" minOccurs="0" nillable="true"/>
            </xsd:sequence>
          </xsd:extension>
        </xsd:complexContent>
      </xsd:complexType>
    </xsd:element>
    <xsd:element name="cc92bdb0fa944447acf309642a11bf0d" ma:index="15" nillable="true" ma:taxonomy="true" ma:internalName="cc92bdb0fa944447acf309642a11bf0d" ma:taxonomyFieldName="NGOOnlineKeywords" ma:displayName="Keywords" ma:readOnly="false" ma:fieldId="{cc92bdb0-fa94-4447-acf3-09642a11bf0d}" ma:taxonomyMulti="true" ma:sspId="e492bf4d-7d24-4a02-9dd7-4d67ddc3dcfb" ma:termSetId="7c9b2214-6d63-47c8-ad9c-de84cf58bf6c"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0186f3-efbf-47f8-9b2f-099ee5b0127d"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e492bf4d-7d24-4a02-9dd7-4d67ddc3dcfb"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MediaServiceLocation" ma:index="2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7137FB-138B-4413-B77A-E2D8E5FC40E5}"/>
</file>

<file path=customXml/itemProps2.xml><?xml version="1.0" encoding="utf-8"?>
<ds:datastoreItem xmlns:ds="http://schemas.openxmlformats.org/officeDocument/2006/customXml" ds:itemID="{74251748-3273-45DC-ADF5-3E8E91BE5988}"/>
</file>

<file path=customXml/itemProps3.xml><?xml version="1.0" encoding="utf-8"?>
<ds:datastoreItem xmlns:ds="http://schemas.openxmlformats.org/officeDocument/2006/customXml" ds:itemID="{86F2A49D-B775-4B59-B6CB-30C52A8177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Ukaejiofo, Onyekachi</dc:creator>
  <cp:keywords/>
  <dc:description/>
  <cp:lastModifiedBy>Rachel Mudekereza</cp:lastModifiedBy>
  <cp:revision/>
  <dcterms:created xsi:type="dcterms:W3CDTF">2025-05-06T20:37:26Z</dcterms:created>
  <dcterms:modified xsi:type="dcterms:W3CDTF">2026-05-21T13:22:09Z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0x010100E87BF1D48505D84EB0D589F252D1AFB200D627E0FEC4140D4E8DE54C47B7C8B9C8</vt:lpwstr>
  </property>
  <property fmtid="{D5CDD505-2E9C-101B-9397-08002B2CF9AE}" pid="3" name="MediaServiceImageTags">
    <vt:lpwstr/>
  </property>
  <property fmtid="{D5CDD505-2E9C-101B-9397-08002B2CF9AE}" pid="4" name="NGOOnlineKeywords">
    <vt:lpwstr/>
  </property>
  <property fmtid="{D5CDD505-2E9C-101B-9397-08002B2CF9AE}" pid="5" name="NGOOnlineDocumentType">
    <vt:lpwstr/>
  </property>
</Properties>
</file>